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940" windowHeight="4305" tabRatio="607" activeTab="0"/>
  </bookViews>
  <sheets>
    <sheet name="Beregning" sheetId="1" r:id="rId1"/>
    <sheet name="Data2" sheetId="2" r:id="rId2"/>
    <sheet name="Data" sheetId="3" r:id="rId3"/>
    <sheet name="Endring" sheetId="4" r:id="rId4"/>
  </sheets>
  <definedNames>
    <definedName name="_xlnm.Print_Area" localSheetId="0">'Beregning'!$B$1:$I$28</definedName>
  </definedNames>
  <calcPr fullCalcOnLoad="1"/>
</workbook>
</file>

<file path=xl/sharedStrings.xml><?xml version="1.0" encoding="utf-8"?>
<sst xmlns="http://schemas.openxmlformats.org/spreadsheetml/2006/main" count="112" uniqueCount="73">
  <si>
    <t>Størrelse</t>
  </si>
  <si>
    <t>vekt i kg</t>
  </si>
  <si>
    <t>SDR 17</t>
  </si>
  <si>
    <t>SDR 11</t>
  </si>
  <si>
    <t>SDR 33</t>
  </si>
  <si>
    <t xml:space="preserve"> </t>
  </si>
  <si>
    <t xml:space="preserve">Kg/m </t>
  </si>
  <si>
    <t>c/c</t>
  </si>
  <si>
    <t>SDR 26</t>
  </si>
  <si>
    <t>SDR 17,7</t>
  </si>
  <si>
    <t>SDR 13,6</t>
  </si>
  <si>
    <t>Luftfyllingsgrad i %</t>
  </si>
  <si>
    <t>SDR klasse</t>
  </si>
  <si>
    <t>Lengde</t>
  </si>
  <si>
    <t>Antall lodd</t>
  </si>
  <si>
    <t>Normale luftfyllingsgrader:</t>
  </si>
  <si>
    <t>Vannledninger og inntaksledninger: 20 - 40 % (P: 0,2 - 0,4)</t>
  </si>
  <si>
    <t>Utslippsledninger: 30 - 50 % (P: 0,3 - 0,5)</t>
  </si>
  <si>
    <t>Spillvann med jevn belastning, kort oppholdstid: 30 - 70 % (P: 0,3 - 0,7)</t>
  </si>
  <si>
    <t>Spillvann med ujevn belastning, lang oppholdstid: Må vurderes i hvert enkelt tilfelle</t>
  </si>
  <si>
    <t>&lt;-Skriv kun her</t>
  </si>
  <si>
    <t>Ved luftfylling/belastningsgrad over 90 % bør man utføre mer nøyaktige beregninger.</t>
  </si>
  <si>
    <t>finnes her: http://www.initio.no/filer/pipelife/Dokumenter/5_1.pdf</t>
  </si>
  <si>
    <t>Det er ikke medregnet strøm og bølgekrefter.</t>
  </si>
  <si>
    <t>Østraadt Rør Gruppen står ikke ansvarlig for dimensjoneringer av sjøledninger.</t>
  </si>
  <si>
    <t xml:space="preserve">Tabellen er laget ut i fra Pipelife sin tabell på PE rør, og tatt i fra "Rørhåndboka" som </t>
  </si>
  <si>
    <t>Total belastning</t>
  </si>
  <si>
    <t>Dim ledning</t>
  </si>
  <si>
    <t>SDR33</t>
  </si>
  <si>
    <t>SDR26</t>
  </si>
  <si>
    <t>SDR17,7</t>
  </si>
  <si>
    <t>SDR 17,6</t>
  </si>
  <si>
    <t xml:space="preserve">32mm - 4kg stripselodd </t>
  </si>
  <si>
    <t>40mm - 4kg stripselodd</t>
  </si>
  <si>
    <t>50mm - 6kg stripselodd</t>
  </si>
  <si>
    <t>50mm - 4kg stripselodd</t>
  </si>
  <si>
    <t>40mm - 6kg stripselodd</t>
  </si>
  <si>
    <t>63mm - 4kg stripselodd</t>
  </si>
  <si>
    <t>63mm - 6kg stripselodd</t>
  </si>
  <si>
    <t>75mm - 6kg stripselodd</t>
  </si>
  <si>
    <t>225mm - 106kg  boltefritt lodd</t>
  </si>
  <si>
    <t>250mm - 116kg  boltefritt lodd</t>
  </si>
  <si>
    <t>355mm - 256kg  boltefritt lodd</t>
  </si>
  <si>
    <t>400mm - 300kg  boltefritt lodd</t>
  </si>
  <si>
    <t>450mm - 400kg  boltefritt lodd</t>
  </si>
  <si>
    <t>710mm - 1200kg  boltefritt lodd</t>
  </si>
  <si>
    <t>900mm - 1850kg  boltefritt lodd</t>
  </si>
  <si>
    <t>800mm - 1460kg  boltefritt lodd</t>
  </si>
  <si>
    <t>75mm - 17,7kg boltefritt lodd</t>
  </si>
  <si>
    <t>90mm - 16,8kg  boltefritt lodd</t>
  </si>
  <si>
    <t>110mm - 16,3kg  boltefritt lodd</t>
  </si>
  <si>
    <t>160mm - 55kg  boltefritt lodd</t>
  </si>
  <si>
    <t>160mm - 70kg boltefritt lodd</t>
  </si>
  <si>
    <t>200mm - 90kg  boltefritt lodd</t>
  </si>
  <si>
    <t>Endringslogg:</t>
  </si>
  <si>
    <t>Hendelse:</t>
  </si>
  <si>
    <t>Dato:</t>
  </si>
  <si>
    <t>Endret vekt på 200mm lodd til 90 kg. Endring i fane:"Data" og "Data2"</t>
  </si>
  <si>
    <t>40mm - 8,5kg stripselodd</t>
  </si>
  <si>
    <t>50mm - 8,5kg stripselodd</t>
  </si>
  <si>
    <t>75mm - 8,5kg stripselodd</t>
  </si>
  <si>
    <t>63mm - 8,5kg stripselodd</t>
  </si>
  <si>
    <t>Lagt inn stripselodd 8,5 kg</t>
  </si>
  <si>
    <t>Revidert: 11.03.14</t>
  </si>
  <si>
    <t>600mm - 1160kg  boltefritt lodd</t>
  </si>
  <si>
    <t>125mm - 30kg  boltefritt lodd</t>
  </si>
  <si>
    <t>140mm - 40kg  boltefritt lodd</t>
  </si>
  <si>
    <t>180mm - 70kg  boltefritt lodd</t>
  </si>
  <si>
    <t>280mm - 170kg  boltefritt lodd</t>
  </si>
  <si>
    <t>315mm - 210kg  boltefritt lodd</t>
  </si>
  <si>
    <t>500mm - 720kg  boltefritt lodd</t>
  </si>
  <si>
    <t>560mm - 1620kg  boltefritt lodd</t>
  </si>
  <si>
    <t>630mm - 880kg  boltefritt lodd</t>
  </si>
</sst>
</file>

<file path=xl/styles.xml><?xml version="1.0" encoding="utf-8"?>
<styleSheet xmlns="http://schemas.openxmlformats.org/spreadsheetml/2006/main">
  <numFmts count="4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0.0"/>
    <numFmt numFmtId="195" formatCode="#,##0\ &quot;KG&quot;;[Red]\-#,##0.00\ &quot;TL&quot;"/>
    <numFmt numFmtId="196" formatCode="#,##0\ &quot;Kg&quot;;[Red]\-#,##0.00\ &quot;TL&quot;"/>
    <numFmt numFmtId="197" formatCode="#,##0\ &quot;Stk.&quot;;[Red]\-#,##0.00\ &quot;TL&quot;"/>
    <numFmt numFmtId="198" formatCode="#,##0\ &quot;m.&quot;;[Red]\-#,##0.00\ &quot;TL&quot;"/>
    <numFmt numFmtId="199" formatCode="#,##0.00\ &quot;m.&quot;;[Red]\-#,##0.00\ &quot;TL&quot;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Arial"/>
      <family val="0"/>
    </font>
    <font>
      <sz val="32"/>
      <color indexed="8"/>
      <name val="Calibri"/>
      <family val="0"/>
    </font>
    <font>
      <b/>
      <sz val="8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12" xfId="0" applyFont="1" applyFill="1" applyBorder="1" applyAlignment="1">
      <alignment/>
    </xf>
    <xf numFmtId="0" fontId="53" fillId="35" borderId="28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0" xfId="0" applyFont="1" applyFill="1" applyAlignment="1">
      <alignment/>
    </xf>
    <xf numFmtId="10" fontId="10" fillId="33" borderId="30" xfId="0" applyNumberFormat="1" applyFont="1" applyFill="1" applyBorder="1" applyAlignment="1" applyProtection="1">
      <alignment horizontal="center"/>
      <protection hidden="1" locked="0"/>
    </xf>
    <xf numFmtId="10" fontId="10" fillId="33" borderId="31" xfId="0" applyNumberFormat="1" applyFont="1" applyFill="1" applyBorder="1" applyAlignment="1" applyProtection="1">
      <alignment horizontal="center"/>
      <protection hidden="1" locked="0"/>
    </xf>
    <xf numFmtId="0" fontId="10" fillId="33" borderId="12" xfId="0" applyFont="1" applyFill="1" applyBorder="1" applyAlignment="1" applyProtection="1">
      <alignment horizontal="center"/>
      <protection hidden="1" locked="0"/>
    </xf>
    <xf numFmtId="0" fontId="10" fillId="33" borderId="32" xfId="0" applyFont="1" applyFill="1" applyBorder="1" applyAlignment="1" applyProtection="1">
      <alignment horizontal="center"/>
      <protection hidden="1" locked="0"/>
    </xf>
    <xf numFmtId="0" fontId="14" fillId="33" borderId="0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96" fontId="10" fillId="36" borderId="35" xfId="0" applyNumberFormat="1" applyFont="1" applyFill="1" applyBorder="1" applyAlignment="1" applyProtection="1">
      <alignment horizontal="center"/>
      <protection/>
    </xf>
    <xf numFmtId="196" fontId="10" fillId="36" borderId="36" xfId="0" applyNumberFormat="1" applyFont="1" applyFill="1" applyBorder="1" applyAlignment="1" applyProtection="1">
      <alignment horizontal="center"/>
      <protection/>
    </xf>
    <xf numFmtId="197" fontId="10" fillId="36" borderId="12" xfId="0" applyNumberFormat="1" applyFont="1" applyFill="1" applyBorder="1" applyAlignment="1" applyProtection="1">
      <alignment horizontal="center"/>
      <protection/>
    </xf>
    <xf numFmtId="197" fontId="10" fillId="36" borderId="32" xfId="0" applyNumberFormat="1" applyFont="1" applyFill="1" applyBorder="1" applyAlignment="1" applyProtection="1">
      <alignment horizontal="center"/>
      <protection/>
    </xf>
    <xf numFmtId="0" fontId="9" fillId="36" borderId="37" xfId="0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/>
    </xf>
    <xf numFmtId="199" fontId="10" fillId="36" borderId="14" xfId="0" applyNumberFormat="1" applyFont="1" applyFill="1" applyBorder="1" applyAlignment="1">
      <alignment horizontal="center"/>
    </xf>
    <xf numFmtId="199" fontId="10" fillId="36" borderId="39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7" borderId="0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itio.no/filer/pipelife/Dokumenter/5_1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25</xdr:row>
      <xdr:rowOff>180975</xdr:rowOff>
    </xdr:from>
    <xdr:to>
      <xdr:col>6</xdr:col>
      <xdr:colOff>790575</xdr:colOff>
      <xdr:row>27</xdr:row>
      <xdr:rowOff>400050</xdr:rowOff>
    </xdr:to>
    <xdr:pic>
      <xdr:nvPicPr>
        <xdr:cNvPr id="1" name="Picture 3" descr="Østraadt rør grupp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5600700"/>
          <a:ext cx="6924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7</xdr:row>
      <xdr:rowOff>38100</xdr:rowOff>
    </xdr:from>
    <xdr:to>
      <xdr:col>7</xdr:col>
      <xdr:colOff>1009650</xdr:colOff>
      <xdr:row>8</xdr:row>
      <xdr:rowOff>19050</xdr:rowOff>
    </xdr:to>
    <xdr:sp>
      <xdr:nvSpPr>
        <xdr:cNvPr id="2" name="TekstSylinder 1"/>
        <xdr:cNvSpPr txBox="1">
          <a:spLocks noChangeArrowheads="1"/>
        </xdr:cNvSpPr>
      </xdr:nvSpPr>
      <xdr:spPr>
        <a:xfrm>
          <a:off x="7715250" y="1562100"/>
          <a:ext cx="2152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&lt;- Velg</a:t>
          </a:r>
          <a:r>
            <a:rPr lang="en-US" cap="none" sz="1100" b="1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 i nedtrekksmenyen</a:t>
          </a:r>
        </a:p>
      </xdr:txBody>
    </xdr:sp>
    <xdr:clientData fPrintsWithSheet="0"/>
  </xdr:twoCellAnchor>
  <xdr:twoCellAnchor>
    <xdr:from>
      <xdr:col>6</xdr:col>
      <xdr:colOff>209550</xdr:colOff>
      <xdr:row>6</xdr:row>
      <xdr:rowOff>47625</xdr:rowOff>
    </xdr:from>
    <xdr:to>
      <xdr:col>7</xdr:col>
      <xdr:colOff>1000125</xdr:colOff>
      <xdr:row>7</xdr:row>
      <xdr:rowOff>28575</xdr:rowOff>
    </xdr:to>
    <xdr:sp>
      <xdr:nvSpPr>
        <xdr:cNvPr id="3" name="TekstSylinder 5"/>
        <xdr:cNvSpPr txBox="1">
          <a:spLocks noChangeArrowheads="1"/>
        </xdr:cNvSpPr>
      </xdr:nvSpPr>
      <xdr:spPr>
        <a:xfrm>
          <a:off x="7705725" y="1276350"/>
          <a:ext cx="2152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&lt;- Velg</a:t>
          </a:r>
          <a:r>
            <a:rPr lang="en-US" cap="none" sz="1100" b="1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 i nedtrekksmenyen</a:t>
          </a:r>
        </a:p>
      </xdr:txBody>
    </xdr:sp>
    <xdr:clientData fPrintsWithSheet="0"/>
  </xdr:twoCellAnchor>
  <xdr:twoCellAnchor>
    <xdr:from>
      <xdr:col>2</xdr:col>
      <xdr:colOff>28575</xdr:colOff>
      <xdr:row>1</xdr:row>
      <xdr:rowOff>66675</xdr:rowOff>
    </xdr:from>
    <xdr:to>
      <xdr:col>6</xdr:col>
      <xdr:colOff>28575</xdr:colOff>
      <xdr:row>3</xdr:row>
      <xdr:rowOff>38100</xdr:rowOff>
    </xdr:to>
    <xdr:sp>
      <xdr:nvSpPr>
        <xdr:cNvPr id="4" name="TekstSylinder 2"/>
        <xdr:cNvSpPr txBox="1">
          <a:spLocks noChangeArrowheads="1"/>
        </xdr:cNvSpPr>
      </xdr:nvSpPr>
      <xdr:spPr>
        <a:xfrm>
          <a:off x="1419225" y="228600"/>
          <a:ext cx="6105525" cy="552450"/>
        </a:xfrm>
        <a:prstGeom prst="rect">
          <a:avLst/>
        </a:prstGeom>
        <a:solidFill>
          <a:srgbClr val="B7DEE8">
            <a:alpha val="66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Beregning av belastningslodd</a:t>
          </a:r>
        </a:p>
      </xdr:txBody>
    </xdr:sp>
    <xdr:clientData/>
  </xdr:twoCellAnchor>
  <xdr:twoCellAnchor editAs="absolute">
    <xdr:from>
      <xdr:col>1</xdr:col>
      <xdr:colOff>609600</xdr:colOff>
      <xdr:row>12</xdr:row>
      <xdr:rowOff>152400</xdr:rowOff>
    </xdr:from>
    <xdr:to>
      <xdr:col>5</xdr:col>
      <xdr:colOff>3810000</xdr:colOff>
      <xdr:row>19</xdr:row>
      <xdr:rowOff>114300</xdr:rowOff>
    </xdr:to>
    <xdr:sp>
      <xdr:nvSpPr>
        <xdr:cNvPr id="5" name="TekstSylinder 3"/>
        <xdr:cNvSpPr txBox="1">
          <a:spLocks noChangeArrowheads="1"/>
        </xdr:cNvSpPr>
      </xdr:nvSpPr>
      <xdr:spPr>
        <a:xfrm>
          <a:off x="1381125" y="3152775"/>
          <a:ext cx="6105525" cy="11049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er ikke medregnet strøm og bølgekrefter.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Normale luftfyllingsgrader: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-Vannledninger og inntaksledninger: 20 - 40 % (P: 0,2 - 0,4)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-Utslippsledninger: 30 - 50 % (P: 0,3 - 0,5)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-Spillvann med jevn belastning, kort oppholdstid: 30 - 70 % (P: 0,3 - 0,7)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-Spillvann med ujevn belastning, lang oppholdstid: Må vurderes i hvert enkelt tilfelle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Ved luftfylling/belastningsgrad over 90 % bør man utføre mer nøyaktige beregninger.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absolute">
    <xdr:from>
      <xdr:col>1</xdr:col>
      <xdr:colOff>609600</xdr:colOff>
      <xdr:row>20</xdr:row>
      <xdr:rowOff>104775</xdr:rowOff>
    </xdr:from>
    <xdr:to>
      <xdr:col>5</xdr:col>
      <xdr:colOff>3810000</xdr:colOff>
      <xdr:row>23</xdr:row>
      <xdr:rowOff>76200</xdr:rowOff>
    </xdr:to>
    <xdr:sp>
      <xdr:nvSpPr>
        <xdr:cNvPr id="6" name="TekstSylinder 4">
          <a:hlinkClick r:id="rId2"/>
        </xdr:cNvPr>
        <xdr:cNvSpPr txBox="1">
          <a:spLocks noChangeArrowheads="1"/>
        </xdr:cNvSpPr>
      </xdr:nvSpPr>
      <xdr:spPr>
        <a:xfrm>
          <a:off x="1381125" y="4410075"/>
          <a:ext cx="6105525" cy="45720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Tabellen er laget ut i fra Pipelife sin tabell på PE rør, og tatt i fra "Rørhåndboka" som finnes her: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Trykk på figuren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(http://www.initio.no/filer/pipelife/Dokumenter/5_1.pdf)</a:t>
          </a:r>
        </a:p>
      </xdr:txBody>
    </xdr:sp>
    <xdr:clientData/>
  </xdr:twoCellAnchor>
  <xdr:twoCellAnchor>
    <xdr:from>
      <xdr:col>1</xdr:col>
      <xdr:colOff>600075</xdr:colOff>
      <xdr:row>23</xdr:row>
      <xdr:rowOff>238125</xdr:rowOff>
    </xdr:from>
    <xdr:to>
      <xdr:col>6</xdr:col>
      <xdr:colOff>762000</xdr:colOff>
      <xdr:row>24</xdr:row>
      <xdr:rowOff>209550</xdr:rowOff>
    </xdr:to>
    <xdr:sp>
      <xdr:nvSpPr>
        <xdr:cNvPr id="7" name="TekstSylinder 6"/>
        <xdr:cNvSpPr txBox="1">
          <a:spLocks noChangeArrowheads="1"/>
        </xdr:cNvSpPr>
      </xdr:nvSpPr>
      <xdr:spPr>
        <a:xfrm>
          <a:off x="1371600" y="5029200"/>
          <a:ext cx="6886575" cy="333375"/>
        </a:xfrm>
        <a:prstGeom prst="rect">
          <a:avLst/>
        </a:prstGeom>
        <a:solidFill>
          <a:srgbClr val="4BACC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Østraadt Rør Gruppen står ikke ansvarlig for dimensjoneringer av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sjøledninger.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showRowColHeaders="0" tabSelected="1" zoomScalePageLayoutView="0" workbookViewId="0" topLeftCell="A1">
      <selection activeCell="E9" sqref="E9:F9"/>
    </sheetView>
  </sheetViews>
  <sheetFormatPr defaultColWidth="11.421875" defaultRowHeight="12.75"/>
  <cols>
    <col min="1" max="1" width="11.57421875" style="0" customWidth="1"/>
    <col min="2" max="2" width="9.28125" style="0" customWidth="1"/>
    <col min="6" max="6" width="57.28125" style="0" customWidth="1"/>
    <col min="7" max="7" width="20.421875" style="0" customWidth="1"/>
    <col min="8" max="8" width="17.00390625" style="0" customWidth="1"/>
    <col min="9" max="9" width="2.421875" style="0" customWidth="1"/>
    <col min="11" max="11" width="35.00390625" style="57" customWidth="1"/>
  </cols>
  <sheetData>
    <row r="1" spans="1:24" ht="12.75">
      <c r="A1" s="31"/>
      <c r="B1" s="30"/>
      <c r="C1" s="30"/>
      <c r="D1" s="30"/>
      <c r="E1" s="30"/>
      <c r="F1" s="30"/>
      <c r="G1" s="30"/>
      <c r="H1" s="30"/>
      <c r="I1" s="30"/>
      <c r="J1" s="29"/>
      <c r="K1" s="55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2.75">
      <c r="A2" s="31"/>
      <c r="B2" s="30"/>
      <c r="C2" s="30"/>
      <c r="D2" s="30"/>
      <c r="E2" s="30"/>
      <c r="F2" s="30"/>
      <c r="G2" s="30"/>
      <c r="H2" s="30"/>
      <c r="I2" s="30"/>
      <c r="J2" s="30"/>
      <c r="K2" s="56" t="s">
        <v>63</v>
      </c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33" customHeight="1">
      <c r="A3" s="31"/>
      <c r="B3" s="30"/>
      <c r="C3" s="62"/>
      <c r="D3" s="62"/>
      <c r="E3" s="62"/>
      <c r="F3" s="62"/>
      <c r="G3" s="30"/>
      <c r="H3" s="30"/>
      <c r="I3" s="30"/>
      <c r="J3" s="30"/>
      <c r="K3" s="56"/>
      <c r="L3" s="43">
        <v>33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6.75" customHeight="1">
      <c r="A4" s="31"/>
      <c r="B4" s="30"/>
      <c r="C4" s="30"/>
      <c r="D4" s="30"/>
      <c r="E4" s="30"/>
      <c r="F4" s="30"/>
      <c r="G4" s="30"/>
      <c r="H4" s="30"/>
      <c r="I4" s="30"/>
      <c r="J4" s="30"/>
      <c r="K4" s="56" t="str">
        <f>Data2!A5</f>
        <v>32mm - 4kg stripselodd </v>
      </c>
      <c r="L4" s="43">
        <v>26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8.25" customHeight="1" thickBot="1">
      <c r="A5" s="31"/>
      <c r="B5" s="30"/>
      <c r="C5" s="30"/>
      <c r="D5" s="30"/>
      <c r="E5" s="30"/>
      <c r="F5" s="30"/>
      <c r="G5" s="30"/>
      <c r="H5" s="30"/>
      <c r="I5" s="30"/>
      <c r="J5" s="30"/>
      <c r="K5" s="56" t="str">
        <f>Data2!A6</f>
        <v>40mm - 4kg stripselodd</v>
      </c>
      <c r="L5" s="43">
        <v>17.6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23.25" customHeight="1" thickTop="1">
      <c r="A6" s="31"/>
      <c r="B6" s="30"/>
      <c r="C6" s="63" t="s">
        <v>11</v>
      </c>
      <c r="D6" s="64"/>
      <c r="E6" s="58"/>
      <c r="F6" s="59"/>
      <c r="G6" s="30"/>
      <c r="H6" s="30"/>
      <c r="I6" s="30"/>
      <c r="J6" s="30"/>
      <c r="K6" s="56" t="str">
        <f>Data2!A7</f>
        <v>40mm - 6kg stripselodd</v>
      </c>
      <c r="L6" s="43">
        <v>17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23.25" customHeight="1">
      <c r="A7" s="31"/>
      <c r="B7" s="30"/>
      <c r="C7" s="65" t="s">
        <v>12</v>
      </c>
      <c r="D7" s="66"/>
      <c r="E7" s="60"/>
      <c r="F7" s="61"/>
      <c r="G7" s="30"/>
      <c r="H7" s="30"/>
      <c r="I7" s="30"/>
      <c r="J7" s="30"/>
      <c r="K7" s="56" t="str">
        <f>Data2!A8</f>
        <v>40mm - 8,5kg stripselodd</v>
      </c>
      <c r="L7" s="43">
        <v>13.6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23.25" customHeight="1">
      <c r="A8" s="31"/>
      <c r="B8" s="30"/>
      <c r="C8" s="65" t="s">
        <v>27</v>
      </c>
      <c r="D8" s="66"/>
      <c r="E8" s="60"/>
      <c r="F8" s="61"/>
      <c r="G8" s="45"/>
      <c r="H8" s="30"/>
      <c r="I8" s="30"/>
      <c r="J8" s="30"/>
      <c r="K8" s="56" t="str">
        <f>Data2!A9</f>
        <v>50mm - 4kg stripselodd</v>
      </c>
      <c r="L8" s="43">
        <v>11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3.25" customHeight="1">
      <c r="A9" s="31"/>
      <c r="B9" s="30"/>
      <c r="C9" s="65" t="s">
        <v>13</v>
      </c>
      <c r="D9" s="66"/>
      <c r="E9" s="60"/>
      <c r="F9" s="61"/>
      <c r="G9" s="45"/>
      <c r="H9" s="30"/>
      <c r="I9" s="30"/>
      <c r="J9" s="30"/>
      <c r="K9" s="56" t="str">
        <f>Data2!A10</f>
        <v>50mm - 6kg stripselodd</v>
      </c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3.25" customHeight="1">
      <c r="A10" s="31"/>
      <c r="B10" s="30"/>
      <c r="C10" s="73" t="s">
        <v>7</v>
      </c>
      <c r="D10" s="74"/>
      <c r="E10" s="75">
        <f>IF(E9="","",IF(E11&gt;0,(E9/E11),"Du kan ikke benytte dette røret ved angitt SDR klasse"))</f>
      </c>
      <c r="F10" s="76"/>
      <c r="G10" s="30"/>
      <c r="H10" s="30"/>
      <c r="I10" s="30"/>
      <c r="J10" s="30"/>
      <c r="K10" s="56" t="str">
        <f>Data2!A11</f>
        <v>50mm - 8,5kg stripselodd</v>
      </c>
      <c r="L10" s="30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23.25" customHeight="1">
      <c r="A11" s="31"/>
      <c r="B11" s="30"/>
      <c r="C11" s="65" t="s">
        <v>14</v>
      </c>
      <c r="D11" s="66"/>
      <c r="E11" s="71">
        <f>IF(E9="","",IF(E7=33,Data2!J40,IF(E7=26,Data2!J41,IF(E7=17.6,Data2!J42,IF(E7=17,Data2!J43,IF(E7=13.6,Data2!J44,IF(E7=11,Data2!J45,"Feil")))))))</f>
      </c>
      <c r="F11" s="72"/>
      <c r="G11" s="1"/>
      <c r="H11" s="30"/>
      <c r="I11" s="30"/>
      <c r="J11" s="30"/>
      <c r="K11" s="56" t="str">
        <f>Data2!A12</f>
        <v>63mm - 4kg stripselodd</v>
      </c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23.25" customHeight="1" thickBot="1">
      <c r="A12" s="30"/>
      <c r="B12" s="30"/>
      <c r="C12" s="67" t="s">
        <v>26</v>
      </c>
      <c r="D12" s="68"/>
      <c r="E12" s="69">
        <f>IF(E9="","",IF(E7=33,Data2!K40,IF(E7=26,Data2!K41,IF(E7=17.6,Data2!K42,IF(E7=17,Data2!K43,IF(E7=13.6,Data2!K44,IF(E7=11,Data2!K45,"Feil")))))))</f>
      </c>
      <c r="F12" s="70"/>
      <c r="G12" s="30"/>
      <c r="H12" s="30"/>
      <c r="I12" s="30"/>
      <c r="J12" s="30"/>
      <c r="K12" s="56" t="str">
        <f>Data2!A13</f>
        <v>63mm - 6kg stripselodd</v>
      </c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3.5" thickTop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56" t="str">
        <f>Data2!A14</f>
        <v>63mm - 8,5kg stripselodd</v>
      </c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>
      <c r="A14" s="30"/>
      <c r="B14" s="51"/>
      <c r="C14" s="38"/>
      <c r="D14" s="38"/>
      <c r="E14" s="38"/>
      <c r="F14" s="38"/>
      <c r="G14" s="38"/>
      <c r="H14" s="38"/>
      <c r="I14" s="38"/>
      <c r="J14" s="38"/>
      <c r="K14" s="56" t="str">
        <f>Data2!A15</f>
        <v>75mm - 6kg stripselodd</v>
      </c>
      <c r="L14" s="30"/>
      <c r="M14" s="31"/>
      <c r="N14" s="32"/>
      <c r="O14" s="32"/>
      <c r="P14" s="32"/>
      <c r="Q14" s="31"/>
      <c r="R14" s="31"/>
      <c r="S14" s="31"/>
      <c r="T14" s="31"/>
      <c r="U14" s="31"/>
      <c r="V14" s="31"/>
      <c r="W14" s="31"/>
      <c r="X14" s="31"/>
    </row>
    <row r="15" spans="1:24" ht="12.75">
      <c r="A15" s="30"/>
      <c r="B15" s="77"/>
      <c r="C15" s="77"/>
      <c r="D15" s="77"/>
      <c r="E15" s="77"/>
      <c r="F15" s="77"/>
      <c r="G15" s="77"/>
      <c r="H15" s="77"/>
      <c r="I15" s="77"/>
      <c r="J15" s="39"/>
      <c r="K15" s="56" t="str">
        <f>Data2!A16</f>
        <v>75mm - 8,5kg stripselodd</v>
      </c>
      <c r="L15" s="39"/>
      <c r="M15" s="32"/>
      <c r="N15" s="32"/>
      <c r="O15" s="32"/>
      <c r="P15" s="32"/>
      <c r="Q15" s="31"/>
      <c r="R15" s="31"/>
      <c r="S15" s="31"/>
      <c r="T15" s="31"/>
      <c r="U15" s="31"/>
      <c r="V15" s="31"/>
      <c r="W15" s="31"/>
      <c r="X15" s="31"/>
    </row>
    <row r="16" spans="1:24" ht="12.75">
      <c r="A16" s="30"/>
      <c r="B16" s="40"/>
      <c r="C16" s="40"/>
      <c r="D16" s="40"/>
      <c r="E16" s="40"/>
      <c r="F16" s="40"/>
      <c r="G16" s="40"/>
      <c r="H16" s="40"/>
      <c r="I16" s="40"/>
      <c r="J16" s="40"/>
      <c r="K16" s="56" t="str">
        <f>Data2!A17</f>
        <v>75mm - 17,7kg boltefritt lodd</v>
      </c>
      <c r="L16" s="39"/>
      <c r="M16" s="32"/>
      <c r="N16" s="32"/>
      <c r="O16" s="32"/>
      <c r="P16" s="32"/>
      <c r="Q16" s="31"/>
      <c r="R16" s="31"/>
      <c r="S16" s="31"/>
      <c r="T16" s="31"/>
      <c r="U16" s="31"/>
      <c r="V16" s="31"/>
      <c r="W16" s="31"/>
      <c r="X16" s="31"/>
    </row>
    <row r="17" spans="1:24" ht="12.75">
      <c r="A17" s="30"/>
      <c r="B17" s="77"/>
      <c r="C17" s="77"/>
      <c r="D17" s="77"/>
      <c r="E17" s="77"/>
      <c r="F17" s="77"/>
      <c r="G17" s="77"/>
      <c r="H17" s="77"/>
      <c r="I17" s="77"/>
      <c r="J17" s="39"/>
      <c r="K17" s="56" t="str">
        <f>Data2!A18</f>
        <v>90mm - 16,8kg  boltefritt lodd</v>
      </c>
      <c r="L17" s="39"/>
      <c r="M17" s="32"/>
      <c r="N17" s="32"/>
      <c r="O17" s="32"/>
      <c r="P17" s="32"/>
      <c r="Q17" s="31"/>
      <c r="R17" s="31"/>
      <c r="S17" s="31"/>
      <c r="T17" s="31"/>
      <c r="U17" s="31"/>
      <c r="V17" s="31"/>
      <c r="W17" s="31"/>
      <c r="X17" s="31"/>
    </row>
    <row r="18" spans="1:24" ht="12.75">
      <c r="A18" s="30"/>
      <c r="B18" s="77"/>
      <c r="C18" s="77"/>
      <c r="D18" s="77"/>
      <c r="E18" s="77"/>
      <c r="F18" s="77"/>
      <c r="G18" s="77"/>
      <c r="H18" s="77"/>
      <c r="I18" s="77"/>
      <c r="J18" s="39"/>
      <c r="K18" s="56" t="str">
        <f>Data2!A19</f>
        <v>110mm - 16,3kg  boltefritt lodd</v>
      </c>
      <c r="L18" s="39"/>
      <c r="M18" s="32"/>
      <c r="N18" s="32"/>
      <c r="O18" s="32"/>
      <c r="P18" s="32"/>
      <c r="Q18" s="31"/>
      <c r="R18" s="31"/>
      <c r="S18" s="31"/>
      <c r="T18" s="31"/>
      <c r="U18" s="31"/>
      <c r="V18" s="31"/>
      <c r="W18" s="31"/>
      <c r="X18" s="31"/>
    </row>
    <row r="19" spans="1:24" ht="12.75">
      <c r="A19" s="30"/>
      <c r="B19" s="77"/>
      <c r="C19" s="77"/>
      <c r="D19" s="77"/>
      <c r="E19" s="77"/>
      <c r="F19" s="77"/>
      <c r="G19" s="77"/>
      <c r="H19" s="77"/>
      <c r="I19" s="77"/>
      <c r="J19" s="39"/>
      <c r="K19" s="56" t="str">
        <f>Data2!A20</f>
        <v>125mm - 30kg  boltefritt lodd</v>
      </c>
      <c r="L19" s="39"/>
      <c r="M19" s="32"/>
      <c r="N19" s="32"/>
      <c r="O19" s="32"/>
      <c r="P19" s="32"/>
      <c r="Q19" s="31"/>
      <c r="R19" s="31"/>
      <c r="S19" s="31"/>
      <c r="T19" s="31"/>
      <c r="U19" s="31"/>
      <c r="V19" s="31"/>
      <c r="W19" s="31"/>
      <c r="X19" s="31"/>
    </row>
    <row r="20" spans="1:24" s="13" customFormat="1" ht="12.75">
      <c r="A20" s="39"/>
      <c r="B20" s="79"/>
      <c r="C20" s="79"/>
      <c r="D20" s="79"/>
      <c r="E20" s="79"/>
      <c r="F20" s="79"/>
      <c r="G20" s="79"/>
      <c r="H20" s="79"/>
      <c r="I20" s="79"/>
      <c r="J20" s="41"/>
      <c r="K20" s="56" t="str">
        <f>Data2!A21</f>
        <v>140mm - 40kg  boltefritt lodd</v>
      </c>
      <c r="L20" s="41"/>
      <c r="M20" s="34"/>
      <c r="N20" s="34"/>
      <c r="O20" s="34"/>
      <c r="P20" s="34"/>
      <c r="Q20" s="32"/>
      <c r="R20" s="32"/>
      <c r="S20" s="32"/>
      <c r="T20" s="32"/>
      <c r="U20" s="32"/>
      <c r="V20" s="32"/>
      <c r="W20" s="32"/>
      <c r="X20" s="32"/>
    </row>
    <row r="21" spans="1:24" ht="12.75">
      <c r="A21" s="30"/>
      <c r="B21" s="39"/>
      <c r="C21" s="39"/>
      <c r="D21" s="39"/>
      <c r="E21" s="39"/>
      <c r="F21" s="39"/>
      <c r="G21" s="39"/>
      <c r="H21" s="39"/>
      <c r="I21" s="39"/>
      <c r="J21" s="39"/>
      <c r="K21" s="56" t="str">
        <f>Data2!A22</f>
        <v>160mm - 55kg  boltefritt lodd</v>
      </c>
      <c r="L21" s="39"/>
      <c r="M21" s="32"/>
      <c r="N21" s="32"/>
      <c r="O21" s="32"/>
      <c r="P21" s="32"/>
      <c r="Q21" s="31"/>
      <c r="R21" s="31"/>
      <c r="S21" s="31"/>
      <c r="T21" s="31"/>
      <c r="U21" s="31"/>
      <c r="V21" s="31"/>
      <c r="W21" s="31"/>
      <c r="X21" s="31"/>
    </row>
    <row r="22" spans="1:24" ht="12.75">
      <c r="A22" s="30"/>
      <c r="B22" s="77"/>
      <c r="C22" s="77"/>
      <c r="D22" s="77"/>
      <c r="E22" s="77"/>
      <c r="F22" s="77"/>
      <c r="G22" s="77"/>
      <c r="H22" s="77"/>
      <c r="I22" s="77"/>
      <c r="J22" s="40"/>
      <c r="K22" s="56" t="str">
        <f>Data2!A23</f>
        <v>160mm - 70kg boltefritt lodd</v>
      </c>
      <c r="L22" s="40"/>
      <c r="M22" s="33"/>
      <c r="N22" s="33"/>
      <c r="O22" s="33"/>
      <c r="P22" s="32"/>
      <c r="Q22" s="31"/>
      <c r="R22" s="31"/>
      <c r="S22" s="31"/>
      <c r="T22" s="31"/>
      <c r="U22" s="31"/>
      <c r="V22" s="31"/>
      <c r="W22" s="31"/>
      <c r="X22" s="31"/>
    </row>
    <row r="23" spans="1:24" ht="12.75">
      <c r="A23" s="30"/>
      <c r="B23" s="77"/>
      <c r="C23" s="77"/>
      <c r="D23" s="77"/>
      <c r="E23" s="77"/>
      <c r="F23" s="77"/>
      <c r="G23" s="77"/>
      <c r="H23" s="77"/>
      <c r="I23" s="77"/>
      <c r="J23" s="40"/>
      <c r="K23" s="56" t="str">
        <f>Data2!A24</f>
        <v>180mm - 70kg  boltefritt lodd</v>
      </c>
      <c r="L23" s="40"/>
      <c r="M23" s="33"/>
      <c r="N23" s="33"/>
      <c r="O23" s="33"/>
      <c r="P23" s="32"/>
      <c r="Q23" s="31"/>
      <c r="R23" s="31"/>
      <c r="S23" s="31"/>
      <c r="T23" s="31"/>
      <c r="U23" s="31"/>
      <c r="V23" s="31"/>
      <c r="W23" s="31"/>
      <c r="X23" s="31"/>
    </row>
    <row r="24" spans="1:24" ht="28.5" customHeight="1">
      <c r="A24" s="30"/>
      <c r="B24" s="78"/>
      <c r="C24" s="78"/>
      <c r="D24" s="78"/>
      <c r="E24" s="78"/>
      <c r="F24" s="78"/>
      <c r="G24" s="78"/>
      <c r="H24" s="42"/>
      <c r="I24" s="42"/>
      <c r="J24" s="42"/>
      <c r="K24" s="56" t="str">
        <f>Data2!A25</f>
        <v>200mm - 90kg  boltefritt lodd</v>
      </c>
      <c r="L24" s="42"/>
      <c r="M24" s="35"/>
      <c r="N24" s="35"/>
      <c r="O24" s="35"/>
      <c r="P24" s="35"/>
      <c r="Q24" s="31"/>
      <c r="R24" s="31"/>
      <c r="S24" s="31"/>
      <c r="T24" s="31"/>
      <c r="U24" s="31"/>
      <c r="V24" s="31"/>
      <c r="W24" s="31"/>
      <c r="X24" s="31"/>
    </row>
    <row r="25" spans="1:24" ht="21" customHeight="1">
      <c r="A25" s="30"/>
      <c r="B25" s="42"/>
      <c r="C25" s="42"/>
      <c r="D25" s="42"/>
      <c r="E25" s="42"/>
      <c r="F25" s="42"/>
      <c r="G25" s="42"/>
      <c r="H25" s="42"/>
      <c r="I25" s="42"/>
      <c r="J25" s="42"/>
      <c r="K25" s="56" t="str">
        <f>Data2!A26</f>
        <v>225mm - 106kg  boltefritt lodd</v>
      </c>
      <c r="L25" s="42"/>
      <c r="M25" s="35"/>
      <c r="N25" s="35"/>
      <c r="O25" s="35"/>
      <c r="P25" s="35"/>
      <c r="Q25" s="31"/>
      <c r="R25" s="31"/>
      <c r="S25" s="31"/>
      <c r="T25" s="31"/>
      <c r="U25" s="31"/>
      <c r="V25" s="31"/>
      <c r="W25" s="31"/>
      <c r="X25" s="31"/>
    </row>
    <row r="26" spans="1:24" ht="20.25" customHeight="1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56" t="str">
        <f>Data2!A27</f>
        <v>250mm - 116kg  boltefritt lodd</v>
      </c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20.25" customHeight="1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56" t="str">
        <f>Data2!A28</f>
        <v>280mm - 170kg  boltefritt lodd</v>
      </c>
      <c r="L27" s="3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42.75" customHeight="1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56" t="str">
        <f>Data2!A29</f>
        <v>315mm - 210kg  boltefritt lodd</v>
      </c>
      <c r="L28" s="30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56" t="str">
        <f>Data2!A30</f>
        <v>355mm - 256kg  boltefritt lodd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56" t="str">
        <f>Data2!A31</f>
        <v>400mm - 300kg  boltefritt lodd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18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56" t="str">
        <f>Data2!A32</f>
        <v>450mm - 400kg  boltefritt lodd</v>
      </c>
      <c r="L31" s="31"/>
      <c r="M31" s="31"/>
      <c r="N31" s="31"/>
      <c r="O31" s="31"/>
      <c r="P31" s="31"/>
      <c r="Q31" s="31"/>
      <c r="R31" s="31"/>
    </row>
    <row r="32" spans="1:18" ht="12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56" t="str">
        <f>Data2!A33</f>
        <v>500mm - 720kg  boltefritt lodd</v>
      </c>
      <c r="L32" s="31"/>
      <c r="M32" s="31"/>
      <c r="N32" s="31"/>
      <c r="O32" s="31"/>
      <c r="P32" s="31"/>
      <c r="Q32" s="31"/>
      <c r="R32" s="31"/>
    </row>
    <row r="33" spans="1:18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56" t="str">
        <f>Data2!A34</f>
        <v>560mm - 1620kg  boltefritt lodd</v>
      </c>
      <c r="L33" s="31"/>
      <c r="M33" s="31"/>
      <c r="N33" s="31"/>
      <c r="O33" s="31"/>
      <c r="P33" s="31"/>
      <c r="Q33" s="31"/>
      <c r="R33" s="31"/>
    </row>
    <row r="34" spans="1:18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56" t="str">
        <f>Data2!A35</f>
        <v>600mm - 1160kg  boltefritt lodd</v>
      </c>
      <c r="L34" s="31"/>
      <c r="M34" s="31"/>
      <c r="N34" s="31"/>
      <c r="O34" s="31"/>
      <c r="P34" s="31"/>
      <c r="Q34" s="31"/>
      <c r="R34" s="31"/>
    </row>
    <row r="35" spans="1:1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56" t="str">
        <f>Data2!A36</f>
        <v>630mm - 880kg  boltefritt lodd</v>
      </c>
      <c r="L35" s="31"/>
      <c r="M35" s="31"/>
      <c r="N35" s="31"/>
      <c r="O35" s="31"/>
      <c r="P35" s="31"/>
      <c r="Q35" s="31"/>
      <c r="R35" s="31"/>
    </row>
    <row r="36" spans="1:1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56" t="str">
        <f>Data2!A37</f>
        <v>710mm - 1200kg  boltefritt lodd</v>
      </c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56" t="str">
        <f>Data2!A38</f>
        <v>800mm - 1460kg  boltefritt lodd</v>
      </c>
      <c r="L37" s="31"/>
      <c r="M37" s="31"/>
      <c r="N37" s="31"/>
      <c r="O37" s="31"/>
      <c r="P37" s="31"/>
      <c r="Q37" s="31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56" t="str">
        <f>Data2!A39</f>
        <v>900mm - 1850kg  boltefritt lodd</v>
      </c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56"/>
      <c r="L39" s="31"/>
      <c r="M39" s="31"/>
      <c r="N39" s="31"/>
      <c r="O39" s="31"/>
      <c r="P39" s="31"/>
      <c r="Q39" s="31"/>
      <c r="R39" s="31"/>
    </row>
    <row r="40" spans="2:18" ht="12.75">
      <c r="B40" s="31"/>
      <c r="C40" s="31"/>
      <c r="D40" s="31"/>
      <c r="E40" s="31"/>
      <c r="F40" s="31"/>
      <c r="G40" s="31"/>
      <c r="H40" s="31"/>
      <c r="I40" s="31"/>
      <c r="J40" s="31"/>
      <c r="K40" s="56"/>
      <c r="L40" s="31"/>
      <c r="M40" s="31"/>
      <c r="N40" s="31"/>
      <c r="O40" s="31"/>
      <c r="P40" s="31"/>
      <c r="Q40" s="31"/>
      <c r="R40" s="31"/>
    </row>
    <row r="41" spans="2:18" ht="12.75">
      <c r="B41" s="31"/>
      <c r="C41" s="31"/>
      <c r="D41" s="31"/>
      <c r="E41" s="31"/>
      <c r="F41" s="31"/>
      <c r="G41" s="31"/>
      <c r="H41" s="31"/>
      <c r="I41" s="31"/>
      <c r="J41" s="31"/>
      <c r="K41" s="56"/>
      <c r="L41" s="31"/>
      <c r="M41" s="31"/>
      <c r="N41" s="31"/>
      <c r="O41" s="31"/>
      <c r="P41" s="31"/>
      <c r="Q41" s="31"/>
      <c r="R41" s="31"/>
    </row>
    <row r="42" spans="2:18" ht="12.75">
      <c r="B42" s="31"/>
      <c r="C42" s="31"/>
      <c r="D42" s="31"/>
      <c r="E42" s="31"/>
      <c r="F42" s="31"/>
      <c r="G42" s="31"/>
      <c r="H42" s="31"/>
      <c r="I42" s="31"/>
      <c r="J42" s="31"/>
      <c r="K42" s="56"/>
      <c r="L42" s="31"/>
      <c r="M42" s="31"/>
      <c r="N42" s="31"/>
      <c r="O42" s="31"/>
      <c r="P42" s="31"/>
      <c r="Q42" s="31"/>
      <c r="R42" s="31"/>
    </row>
    <row r="43" spans="2:18" ht="12.75">
      <c r="B43" s="31"/>
      <c r="C43" s="31"/>
      <c r="D43" s="31"/>
      <c r="E43" s="31"/>
      <c r="F43" s="31"/>
      <c r="G43" s="31"/>
      <c r="H43" s="31"/>
      <c r="I43" s="31"/>
      <c r="J43" s="31"/>
      <c r="K43" s="56"/>
      <c r="L43" s="31"/>
      <c r="M43" s="31"/>
      <c r="N43" s="31"/>
      <c r="O43" s="31"/>
      <c r="P43" s="31"/>
      <c r="Q43" s="31"/>
      <c r="R43" s="31"/>
    </row>
    <row r="44" spans="2:18" ht="12.75">
      <c r="B44" s="31"/>
      <c r="C44" s="31"/>
      <c r="D44" s="31"/>
      <c r="E44" s="31"/>
      <c r="F44" s="31"/>
      <c r="G44" s="31"/>
      <c r="H44" s="31"/>
      <c r="I44" s="31"/>
      <c r="J44" s="31"/>
      <c r="K44" s="56"/>
      <c r="L44" s="31"/>
      <c r="M44" s="31"/>
      <c r="N44" s="31"/>
      <c r="O44" s="31"/>
      <c r="P44" s="31"/>
      <c r="Q44" s="31"/>
      <c r="R44" s="31"/>
    </row>
    <row r="45" spans="2:18" ht="12.75">
      <c r="B45" s="31"/>
      <c r="C45" s="31"/>
      <c r="D45" s="31"/>
      <c r="E45" s="31"/>
      <c r="F45" s="31"/>
      <c r="G45" s="31"/>
      <c r="H45" s="31"/>
      <c r="I45" s="31"/>
      <c r="J45" s="31"/>
      <c r="L45" s="31"/>
      <c r="M45" s="31"/>
      <c r="N45" s="31"/>
      <c r="O45" s="31"/>
      <c r="P45" s="31"/>
      <c r="Q45" s="31"/>
      <c r="R45" s="31"/>
    </row>
    <row r="46" spans="2:18" ht="12.75">
      <c r="B46" s="31"/>
      <c r="C46" s="31"/>
      <c r="D46" s="31"/>
      <c r="E46" s="31"/>
      <c r="F46" s="31"/>
      <c r="G46" s="31"/>
      <c r="H46" s="31"/>
      <c r="I46" s="31"/>
      <c r="J46" s="31"/>
      <c r="L46" s="31"/>
      <c r="M46" s="31"/>
      <c r="N46" s="31"/>
      <c r="O46" s="31"/>
      <c r="P46" s="31"/>
      <c r="Q46" s="31"/>
      <c r="R46" s="31"/>
    </row>
    <row r="47" spans="2:18" ht="12.75">
      <c r="B47" s="31"/>
      <c r="C47" s="31"/>
      <c r="D47" s="31"/>
      <c r="E47" s="31"/>
      <c r="F47" s="31"/>
      <c r="G47" s="31"/>
      <c r="H47" s="31"/>
      <c r="I47" s="31"/>
      <c r="J47" s="31"/>
      <c r="L47" s="31"/>
      <c r="M47" s="31"/>
      <c r="N47" s="31"/>
      <c r="O47" s="31"/>
      <c r="P47" s="31"/>
      <c r="Q47" s="31"/>
      <c r="R47" s="31"/>
    </row>
    <row r="48" spans="2:18" ht="12.75">
      <c r="B48" s="31"/>
      <c r="C48" s="31"/>
      <c r="D48" s="31"/>
      <c r="E48" s="31"/>
      <c r="F48" s="31"/>
      <c r="G48" s="31"/>
      <c r="H48" s="31"/>
      <c r="I48" s="31"/>
      <c r="J48" s="31"/>
      <c r="L48" s="31"/>
      <c r="M48" s="31"/>
      <c r="N48" s="31"/>
      <c r="O48" s="31"/>
      <c r="P48" s="31"/>
      <c r="Q48" s="31"/>
      <c r="R48" s="31"/>
    </row>
    <row r="49" spans="2:18" ht="12.75">
      <c r="B49" s="31"/>
      <c r="C49" s="31"/>
      <c r="D49" s="31"/>
      <c r="E49" s="31"/>
      <c r="F49" s="31"/>
      <c r="G49" s="31"/>
      <c r="H49" s="31"/>
      <c r="I49" s="31"/>
      <c r="J49" s="31"/>
      <c r="L49" s="31"/>
      <c r="M49" s="31"/>
      <c r="N49" s="31"/>
      <c r="O49" s="31"/>
      <c r="P49" s="31"/>
      <c r="Q49" s="31"/>
      <c r="R49" s="31"/>
    </row>
    <row r="50" spans="2:18" ht="12.75">
      <c r="B50" s="31"/>
      <c r="C50" s="31"/>
      <c r="D50" s="31"/>
      <c r="E50" s="31"/>
      <c r="F50" s="31"/>
      <c r="G50" s="31"/>
      <c r="H50" s="31"/>
      <c r="I50" s="31"/>
      <c r="J50" s="31"/>
      <c r="L50" s="31"/>
      <c r="M50" s="31"/>
      <c r="N50" s="31"/>
      <c r="O50" s="31"/>
      <c r="P50" s="31"/>
      <c r="Q50" s="31"/>
      <c r="R50" s="31"/>
    </row>
    <row r="51" spans="2:18" ht="12.75">
      <c r="B51" s="31"/>
      <c r="C51" s="31"/>
      <c r="D51" s="31"/>
      <c r="E51" s="31"/>
      <c r="F51" s="31"/>
      <c r="G51" s="31"/>
      <c r="H51" s="31"/>
      <c r="I51" s="31"/>
      <c r="J51" s="31"/>
      <c r="L51" s="31"/>
      <c r="M51" s="31"/>
      <c r="N51" s="31"/>
      <c r="O51" s="31"/>
      <c r="P51" s="31"/>
      <c r="Q51" s="31"/>
      <c r="R51" s="31"/>
    </row>
    <row r="52" spans="2:18" ht="12.75">
      <c r="B52" s="31"/>
      <c r="C52" s="31"/>
      <c r="D52" s="31"/>
      <c r="E52" s="31"/>
      <c r="F52" s="31"/>
      <c r="G52" s="31"/>
      <c r="H52" s="31"/>
      <c r="I52" s="31"/>
      <c r="J52" s="31"/>
      <c r="L52" s="31"/>
      <c r="M52" s="31"/>
      <c r="N52" s="31"/>
      <c r="O52" s="31"/>
      <c r="P52" s="31"/>
      <c r="Q52" s="31"/>
      <c r="R52" s="31"/>
    </row>
    <row r="53" spans="2:18" ht="12.75">
      <c r="B53" s="31"/>
      <c r="C53" s="31"/>
      <c r="D53" s="31"/>
      <c r="E53" s="31"/>
      <c r="F53" s="31"/>
      <c r="G53" s="31"/>
      <c r="H53" s="31"/>
      <c r="I53" s="31"/>
      <c r="J53" s="31"/>
      <c r="L53" s="31"/>
      <c r="M53" s="31"/>
      <c r="N53" s="31"/>
      <c r="O53" s="31"/>
      <c r="P53" s="31"/>
      <c r="Q53" s="31"/>
      <c r="R53" s="31"/>
    </row>
    <row r="54" spans="2:18" ht="12.75">
      <c r="B54" s="31"/>
      <c r="C54" s="31"/>
      <c r="D54" s="31"/>
      <c r="E54" s="31"/>
      <c r="F54" s="31"/>
      <c r="G54" s="31"/>
      <c r="H54" s="31"/>
      <c r="I54" s="31"/>
      <c r="J54" s="31"/>
      <c r="L54" s="31"/>
      <c r="M54" s="31"/>
      <c r="N54" s="31"/>
      <c r="O54" s="31"/>
      <c r="P54" s="31"/>
      <c r="Q54" s="31"/>
      <c r="R54" s="31"/>
    </row>
    <row r="55" spans="2:18" ht="12.75">
      <c r="B55" s="31"/>
      <c r="C55" s="31"/>
      <c r="D55" s="31"/>
      <c r="E55" s="31"/>
      <c r="F55" s="31"/>
      <c r="G55" s="31"/>
      <c r="H55" s="31"/>
      <c r="I55" s="31"/>
      <c r="J55" s="31"/>
      <c r="L55" s="31"/>
      <c r="M55" s="31"/>
      <c r="N55" s="31"/>
      <c r="O55" s="31"/>
      <c r="P55" s="31"/>
      <c r="Q55" s="31"/>
      <c r="R55" s="31"/>
    </row>
    <row r="56" spans="2:13" ht="12.75">
      <c r="B56" s="31"/>
      <c r="C56" s="31"/>
      <c r="D56" s="31"/>
      <c r="E56" s="31"/>
      <c r="F56" s="31"/>
      <c r="G56" s="31"/>
      <c r="H56" s="31"/>
      <c r="I56" s="31"/>
      <c r="J56" s="31"/>
      <c r="L56" s="31"/>
      <c r="M56" s="31"/>
    </row>
    <row r="57" spans="2:10" ht="12.75">
      <c r="B57" s="31"/>
      <c r="C57" s="31"/>
      <c r="D57" s="31"/>
      <c r="E57" s="31"/>
      <c r="F57" s="31"/>
      <c r="G57" s="31"/>
      <c r="H57" s="31"/>
      <c r="I57" s="31"/>
      <c r="J57" s="31"/>
    </row>
    <row r="58" spans="2:10" ht="12.75">
      <c r="B58" s="31"/>
      <c r="C58" s="31"/>
      <c r="D58" s="31"/>
      <c r="E58" s="31"/>
      <c r="F58" s="31"/>
      <c r="G58" s="31"/>
      <c r="H58" s="31"/>
      <c r="I58" s="31"/>
      <c r="J58" s="31"/>
    </row>
  </sheetData>
  <sheetProtection password="C5A6" sheet="1" selectLockedCells="1"/>
  <mergeCells count="23">
    <mergeCell ref="B17:I17"/>
    <mergeCell ref="B24:G24"/>
    <mergeCell ref="B23:I23"/>
    <mergeCell ref="B18:I18"/>
    <mergeCell ref="B19:I19"/>
    <mergeCell ref="B20:I20"/>
    <mergeCell ref="B22:I22"/>
    <mergeCell ref="C9:D9"/>
    <mergeCell ref="E9:F9"/>
    <mergeCell ref="C10:D10"/>
    <mergeCell ref="E10:F10"/>
    <mergeCell ref="C8:D8"/>
    <mergeCell ref="B15:I15"/>
    <mergeCell ref="E6:F6"/>
    <mergeCell ref="E7:F7"/>
    <mergeCell ref="C3:F3"/>
    <mergeCell ref="C6:D6"/>
    <mergeCell ref="C7:D7"/>
    <mergeCell ref="C12:D12"/>
    <mergeCell ref="E12:F12"/>
    <mergeCell ref="E8:F8"/>
    <mergeCell ref="C11:D11"/>
    <mergeCell ref="E11:F11"/>
  </mergeCells>
  <dataValidations count="2">
    <dataValidation type="list" allowBlank="1" showInputMessage="1" showErrorMessage="1" sqref="E7:F7">
      <formula1>$L$2:$L$8</formula1>
    </dataValidation>
    <dataValidation type="list" allowBlank="1" showInputMessage="1" showErrorMessage="1" sqref="E8:F8">
      <formula1>$K$4:$K$39</formula1>
    </dataValidation>
  </dataValidations>
  <printOptions horizontalCentered="1" verticalCentered="1"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P1">
      <selection activeCell="N35" sqref="N35"/>
    </sheetView>
  </sheetViews>
  <sheetFormatPr defaultColWidth="10.28125" defaultRowHeight="12.75"/>
  <cols>
    <col min="1" max="1" width="0.13671875" style="48" hidden="1" customWidth="1"/>
    <col min="2" max="2" width="10.28125" style="0" hidden="1" customWidth="1"/>
    <col min="3" max="3" width="10.28125" style="49" hidden="1" customWidth="1"/>
    <col min="4" max="15" width="10.28125" style="0" hidden="1" customWidth="1"/>
  </cols>
  <sheetData>
    <row r="1" spans="1:15" ht="15">
      <c r="A1" s="46"/>
      <c r="B1" s="21"/>
      <c r="C1" s="21"/>
      <c r="D1" s="87" t="s">
        <v>4</v>
      </c>
      <c r="E1" s="86"/>
      <c r="F1" s="85" t="s">
        <v>8</v>
      </c>
      <c r="G1" s="86"/>
      <c r="H1" s="85" t="s">
        <v>31</v>
      </c>
      <c r="I1" s="86"/>
      <c r="J1" s="85" t="s">
        <v>2</v>
      </c>
      <c r="K1" s="86"/>
      <c r="L1" s="85" t="s">
        <v>10</v>
      </c>
      <c r="M1" s="86"/>
      <c r="N1" s="85" t="s">
        <v>3</v>
      </c>
      <c r="O1" s="86"/>
    </row>
    <row r="2" spans="1:15" ht="12.75">
      <c r="A2" s="47"/>
      <c r="B2" s="1"/>
      <c r="C2" s="52"/>
      <c r="D2" s="9"/>
      <c r="E2" s="4"/>
      <c r="F2" s="3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47" t="s">
        <v>0</v>
      </c>
      <c r="B3" s="1" t="s">
        <v>1</v>
      </c>
      <c r="C3" s="53" t="s">
        <v>5</v>
      </c>
      <c r="D3" s="2" t="s">
        <v>6</v>
      </c>
      <c r="E3" s="5" t="s">
        <v>7</v>
      </c>
      <c r="F3" s="1" t="s">
        <v>6</v>
      </c>
      <c r="G3" s="1" t="s">
        <v>7</v>
      </c>
      <c r="H3" s="26" t="s">
        <v>6</v>
      </c>
      <c r="I3" s="5" t="s">
        <v>7</v>
      </c>
      <c r="J3" s="1" t="s">
        <v>6</v>
      </c>
      <c r="K3" s="5" t="s">
        <v>7</v>
      </c>
      <c r="L3" s="1" t="s">
        <v>6</v>
      </c>
      <c r="M3" s="5" t="s">
        <v>7</v>
      </c>
      <c r="N3" s="1" t="s">
        <v>6</v>
      </c>
      <c r="O3" s="5" t="s">
        <v>7</v>
      </c>
    </row>
    <row r="4" spans="1:15" ht="12.75">
      <c r="A4" s="47"/>
      <c r="B4" s="1"/>
      <c r="C4" s="53"/>
      <c r="D4" s="22"/>
      <c r="E4" s="14"/>
      <c r="F4" s="2"/>
      <c r="G4" s="1"/>
      <c r="H4" s="26"/>
      <c r="I4" s="1"/>
      <c r="J4" s="2"/>
      <c r="K4" s="5"/>
      <c r="L4" s="1"/>
      <c r="M4" s="5"/>
      <c r="N4" s="1"/>
      <c r="O4" s="5"/>
    </row>
    <row r="5" spans="1:15" ht="12.75">
      <c r="A5" s="44" t="s">
        <v>32</v>
      </c>
      <c r="B5" s="12">
        <v>4</v>
      </c>
      <c r="C5" s="54"/>
      <c r="D5" s="11">
        <v>0</v>
      </c>
      <c r="E5" s="23">
        <v>0</v>
      </c>
      <c r="F5" s="24"/>
      <c r="G5" s="23"/>
      <c r="H5" s="27">
        <f>(Data!$G5+Beregning!$E$6*Data!$H5)</f>
        <v>0.02</v>
      </c>
      <c r="I5" s="8">
        <f aca="true" t="shared" si="0" ref="I5:I16">(B5/H5)</f>
        <v>200</v>
      </c>
      <c r="J5" s="25">
        <f>(Data!$I5+Beregning!$E$6*Data!$J5)</f>
        <v>0.01</v>
      </c>
      <c r="K5" s="6">
        <f aca="true" t="shared" si="1" ref="K5:K15">(B5/J5)</f>
        <v>400</v>
      </c>
      <c r="L5" s="6">
        <f>(Data!$K5+Beregning!$E$6*Data!$L5)</f>
        <v>0.03</v>
      </c>
      <c r="M5" s="6">
        <f aca="true" t="shared" si="2" ref="M5:M15">(B5/L5)</f>
        <v>133.33333333333334</v>
      </c>
      <c r="N5" s="6">
        <f>(Data!$M5+Beregning!$E$6*Data!$N5)</f>
        <v>0.03</v>
      </c>
      <c r="O5" s="6">
        <f aca="true" t="shared" si="3" ref="O5:O15">(B5/N5)</f>
        <v>133.33333333333334</v>
      </c>
    </row>
    <row r="6" spans="1:15" ht="12.75">
      <c r="A6" s="44" t="s">
        <v>33</v>
      </c>
      <c r="B6" s="12">
        <v>4</v>
      </c>
      <c r="C6" s="54"/>
      <c r="D6" s="11"/>
      <c r="E6" s="23"/>
      <c r="F6" s="24"/>
      <c r="G6" s="23"/>
      <c r="H6" s="27">
        <f>(Data!$G6+Beregning!$E$6*Data!$H6)</f>
        <v>0.03</v>
      </c>
      <c r="I6" s="8">
        <f t="shared" si="0"/>
        <v>133.33333333333334</v>
      </c>
      <c r="J6" s="25">
        <f>(Data!$I6+Beregning!$E$6*Data!$J6)</f>
        <v>0.04</v>
      </c>
      <c r="K6" s="6">
        <f t="shared" si="1"/>
        <v>100</v>
      </c>
      <c r="L6" s="6">
        <f>(Data!$K6+Beregning!$E$6*Data!$L6)</f>
        <v>0.04</v>
      </c>
      <c r="M6" s="6">
        <f t="shared" si="2"/>
        <v>100</v>
      </c>
      <c r="N6" s="6">
        <f>(Data!$M6+Beregning!$E$6*Data!$N6)</f>
        <v>0.03</v>
      </c>
      <c r="O6" s="6">
        <f t="shared" si="3"/>
        <v>133.33333333333334</v>
      </c>
    </row>
    <row r="7" spans="1:15" ht="12.75">
      <c r="A7" s="44" t="s">
        <v>36</v>
      </c>
      <c r="B7" s="12">
        <v>6</v>
      </c>
      <c r="C7" s="54"/>
      <c r="D7" s="11"/>
      <c r="E7" s="23"/>
      <c r="F7" s="24"/>
      <c r="G7" s="23"/>
      <c r="H7" s="27">
        <f>(Data!$G7+Beregning!$E$6*Data!$H7)</f>
        <v>0.03</v>
      </c>
      <c r="I7" s="8">
        <f t="shared" si="0"/>
        <v>200</v>
      </c>
      <c r="J7" s="25">
        <f>(Data!$I7+Beregning!$E$6*Data!$J7)</f>
        <v>0.04</v>
      </c>
      <c r="K7" s="6">
        <f t="shared" si="1"/>
        <v>150</v>
      </c>
      <c r="L7" s="6">
        <f>(Data!$K7+Beregning!$E$6*Data!$L7)</f>
        <v>0.04</v>
      </c>
      <c r="M7" s="6">
        <f t="shared" si="2"/>
        <v>150</v>
      </c>
      <c r="N7" s="6">
        <f>(Data!$M7+Beregning!$E$6*Data!$N7)</f>
        <v>0.03</v>
      </c>
      <c r="O7" s="6">
        <f t="shared" si="3"/>
        <v>200</v>
      </c>
    </row>
    <row r="8" spans="1:15" ht="12.75">
      <c r="A8" s="44" t="s">
        <v>58</v>
      </c>
      <c r="B8" s="12">
        <v>8.5</v>
      </c>
      <c r="C8" s="54"/>
      <c r="D8" s="11"/>
      <c r="E8" s="23"/>
      <c r="F8" s="24"/>
      <c r="G8" s="23"/>
      <c r="H8" s="27">
        <f>(Data!$G8+Beregning!$E$6*Data!$H8)</f>
        <v>0.03</v>
      </c>
      <c r="I8" s="8">
        <f>(B8/H8)</f>
        <v>283.33333333333337</v>
      </c>
      <c r="J8" s="25">
        <f>(Data!$I8+Beregning!$E$6*Data!$J8)</f>
        <v>0.04</v>
      </c>
      <c r="K8" s="6">
        <f>(B8/J8)</f>
        <v>212.5</v>
      </c>
      <c r="L8" s="6">
        <f>(Data!$K8+Beregning!$E$6*Data!$L8)</f>
        <v>0.04</v>
      </c>
      <c r="M8" s="6">
        <f>(B8/L8)</f>
        <v>212.5</v>
      </c>
      <c r="N8" s="6">
        <f>(Data!$M8+Beregning!$E$6*Data!$N8)</f>
        <v>0.03</v>
      </c>
      <c r="O8" s="6">
        <f>(B8/N8)</f>
        <v>283.33333333333337</v>
      </c>
    </row>
    <row r="9" spans="1:15" ht="12.75">
      <c r="A9" s="44" t="s">
        <v>35</v>
      </c>
      <c r="B9" s="12">
        <v>4</v>
      </c>
      <c r="C9" s="54"/>
      <c r="D9" s="11"/>
      <c r="E9" s="23"/>
      <c r="F9" s="25">
        <f>SUM(Data!$E9+Beregning!$E$6*Data!$F9)</f>
        <v>0.06</v>
      </c>
      <c r="G9" s="8">
        <f aca="true" t="shared" si="4" ref="G9:G39">SUM(B9/F9)</f>
        <v>66.66666666666667</v>
      </c>
      <c r="H9" s="27">
        <f>(Data!$G9+Beregning!$E$6*Data!$H9)</f>
        <v>0.06</v>
      </c>
      <c r="I9" s="8">
        <f t="shared" si="0"/>
        <v>66.66666666666667</v>
      </c>
      <c r="J9" s="25">
        <f>(Data!$I9+Beregning!$E$6*Data!$J9)</f>
        <v>0.06</v>
      </c>
      <c r="K9" s="6">
        <f t="shared" si="1"/>
        <v>66.66666666666667</v>
      </c>
      <c r="L9" s="6">
        <f>(Data!$K9+Beregning!$E$6*Data!$L9)</f>
        <v>0.06</v>
      </c>
      <c r="M9" s="6">
        <f t="shared" si="2"/>
        <v>66.66666666666667</v>
      </c>
      <c r="N9" s="6">
        <f>(Data!$M9+Beregning!$E$6*Data!$N9)</f>
        <v>0.06</v>
      </c>
      <c r="O9" s="6">
        <f t="shared" si="3"/>
        <v>66.66666666666667</v>
      </c>
    </row>
    <row r="10" spans="1:15" ht="12.75">
      <c r="A10" s="44" t="s">
        <v>34</v>
      </c>
      <c r="B10" s="12">
        <v>6</v>
      </c>
      <c r="C10" s="54"/>
      <c r="D10" s="11"/>
      <c r="E10" s="23"/>
      <c r="F10" s="25">
        <f>SUM(Data!$E10+Beregning!$E$6*Data!$F10)</f>
        <v>0.06</v>
      </c>
      <c r="G10" s="8">
        <f t="shared" si="4"/>
        <v>100</v>
      </c>
      <c r="H10" s="27">
        <f>(Data!$G10+Beregning!$E$6*Data!$H10)</f>
        <v>0.06</v>
      </c>
      <c r="I10" s="8">
        <f t="shared" si="0"/>
        <v>100</v>
      </c>
      <c r="J10" s="25">
        <f>(Data!$I10+Beregning!$E$6*Data!$J10)</f>
        <v>0.06</v>
      </c>
      <c r="K10" s="8">
        <f t="shared" si="1"/>
        <v>100</v>
      </c>
      <c r="L10" s="25">
        <f>(Data!$K10+Beregning!$E$6*Data!$L10)</f>
        <v>0.06</v>
      </c>
      <c r="M10" s="8">
        <f t="shared" si="2"/>
        <v>100</v>
      </c>
      <c r="N10" s="25">
        <f>(Data!$M10+Beregning!$E$6*Data!$N10)</f>
        <v>0.06</v>
      </c>
      <c r="O10" s="6">
        <f t="shared" si="3"/>
        <v>100</v>
      </c>
    </row>
    <row r="11" spans="1:15" ht="12.75">
      <c r="A11" s="44" t="s">
        <v>59</v>
      </c>
      <c r="B11" s="12">
        <v>8.5</v>
      </c>
      <c r="C11" s="54"/>
      <c r="D11" s="11"/>
      <c r="E11" s="23"/>
      <c r="F11" s="25">
        <f>SUM(Data!$E11+Beregning!$E$6*Data!$F11)</f>
        <v>0.06</v>
      </c>
      <c r="G11" s="8">
        <f t="shared" si="4"/>
        <v>141.66666666666669</v>
      </c>
      <c r="H11" s="27">
        <f>(Data!$G12+Beregning!$E$6*Data!$H12)</f>
        <v>0.09</v>
      </c>
      <c r="I11" s="8">
        <f t="shared" si="0"/>
        <v>94.44444444444444</v>
      </c>
      <c r="J11" s="25">
        <f>(Data!$I11+Beregning!$E$6*Data!$J11)</f>
        <v>0.06</v>
      </c>
      <c r="K11" s="8">
        <f>(B11/J11)</f>
        <v>141.66666666666669</v>
      </c>
      <c r="L11" s="25">
        <f>(Data!$K11+Beregning!$E$6*Data!$L11)</f>
        <v>0.06</v>
      </c>
      <c r="M11" s="8">
        <f>(B11/L11)</f>
        <v>141.66666666666669</v>
      </c>
      <c r="N11" s="25">
        <f>(Data!$M11+Beregning!$E$6*Data!$N11)</f>
        <v>0.06</v>
      </c>
      <c r="O11" s="6">
        <f>(B11/N11)</f>
        <v>141.66666666666669</v>
      </c>
    </row>
    <row r="12" spans="1:15" ht="12.75">
      <c r="A12" s="44" t="s">
        <v>37</v>
      </c>
      <c r="B12" s="12">
        <v>4</v>
      </c>
      <c r="C12" s="54"/>
      <c r="D12" s="11"/>
      <c r="E12" s="23"/>
      <c r="F12" s="25">
        <f>SUM(Data!$E12+Beregning!$E$6*Data!$F12)</f>
        <v>0.12</v>
      </c>
      <c r="G12" s="8">
        <f t="shared" si="4"/>
        <v>33.333333333333336</v>
      </c>
      <c r="H12" s="27">
        <f>(Data!$G12+Beregning!$E$6*Data!$H12)</f>
        <v>0.09</v>
      </c>
      <c r="I12" s="8">
        <f t="shared" si="0"/>
        <v>44.44444444444444</v>
      </c>
      <c r="J12" s="25">
        <f>(Data!$I12+Beregning!$E$6*Data!$J12)</f>
        <v>0.09</v>
      </c>
      <c r="K12" s="8">
        <f t="shared" si="1"/>
        <v>44.44444444444444</v>
      </c>
      <c r="L12" s="25">
        <f>(Data!$K12+Beregning!$E$6*Data!$L12)</f>
        <v>0.12</v>
      </c>
      <c r="M12" s="8">
        <f t="shared" si="2"/>
        <v>33.333333333333336</v>
      </c>
      <c r="N12" s="25">
        <f>(Data!$M12+Beregning!$E$6*Data!$N12)</f>
        <v>0.1</v>
      </c>
      <c r="O12" s="6">
        <f t="shared" si="3"/>
        <v>40</v>
      </c>
    </row>
    <row r="13" spans="1:15" ht="12.75">
      <c r="A13" s="44" t="s">
        <v>38</v>
      </c>
      <c r="B13" s="12">
        <v>6</v>
      </c>
      <c r="C13" s="54"/>
      <c r="D13" s="11"/>
      <c r="E13" s="23"/>
      <c r="F13" s="25">
        <f>SUM(Data!$E13+Beregning!$E$6*Data!$F13)</f>
        <v>0.12</v>
      </c>
      <c r="G13" s="8">
        <f>SUM(B13/F13)</f>
        <v>50</v>
      </c>
      <c r="H13" s="27">
        <f>(Data!$G13+Beregning!$E$6*Data!$H13)</f>
        <v>0.09</v>
      </c>
      <c r="I13" s="8">
        <f t="shared" si="0"/>
        <v>66.66666666666667</v>
      </c>
      <c r="J13" s="25">
        <f>(Data!$I13+Beregning!$E$6*Data!$J13)</f>
        <v>0.09</v>
      </c>
      <c r="K13" s="8">
        <f t="shared" si="1"/>
        <v>66.66666666666667</v>
      </c>
      <c r="L13" s="25">
        <f>(Data!$K13+Beregning!$E$6*Data!$L13)</f>
        <v>0.12</v>
      </c>
      <c r="M13" s="8">
        <f t="shared" si="2"/>
        <v>50</v>
      </c>
      <c r="N13" s="25">
        <f>(Data!$M13+Beregning!$E$6*Data!$N13)</f>
        <v>0.1</v>
      </c>
      <c r="O13" s="6">
        <f t="shared" si="3"/>
        <v>60</v>
      </c>
    </row>
    <row r="14" spans="1:15" ht="12.75">
      <c r="A14" s="44" t="s">
        <v>61</v>
      </c>
      <c r="B14" s="12">
        <v>8.5</v>
      </c>
      <c r="C14" s="54"/>
      <c r="D14" s="11"/>
      <c r="E14" s="23"/>
      <c r="F14" s="25">
        <f>SUM(Data!$E14+Beregning!$E$6*Data!$F14)</f>
        <v>0.12</v>
      </c>
      <c r="G14" s="8">
        <f>SUM(B14/F14)</f>
        <v>70.83333333333334</v>
      </c>
      <c r="H14" s="27">
        <f>(Data!$G14+Beregning!$E$6*Data!$H14)</f>
        <v>0.09</v>
      </c>
      <c r="I14" s="8">
        <f t="shared" si="0"/>
        <v>94.44444444444444</v>
      </c>
      <c r="J14" s="25">
        <f>(Data!$I14+Beregning!$E$6*Data!$J14)</f>
        <v>0.09</v>
      </c>
      <c r="K14" s="8">
        <f>(B14/J14)</f>
        <v>94.44444444444444</v>
      </c>
      <c r="L14" s="25">
        <f>(Data!$K14+Beregning!$E$6*Data!$L14)</f>
        <v>0.12</v>
      </c>
      <c r="M14" s="8">
        <f>(B14/L14)</f>
        <v>70.83333333333334</v>
      </c>
      <c r="N14" s="25">
        <f>(Data!$M14+Beregning!$E$6*Data!$N14)</f>
        <v>0.1</v>
      </c>
      <c r="O14" s="6">
        <f>(B14/N14)</f>
        <v>85</v>
      </c>
    </row>
    <row r="15" spans="1:15" ht="12.75">
      <c r="A15" s="44" t="s">
        <v>39</v>
      </c>
      <c r="B15" s="12">
        <v>6</v>
      </c>
      <c r="C15" s="54"/>
      <c r="D15" s="11"/>
      <c r="E15" s="23"/>
      <c r="F15" s="25">
        <f>SUM(Data!$E15+Beregning!$E$6*Data!$F15)</f>
        <v>0.15</v>
      </c>
      <c r="G15" s="8">
        <f t="shared" si="4"/>
        <v>40</v>
      </c>
      <c r="H15" s="27">
        <f>(Data!$G15+Beregning!$E$6*Data!$H15)</f>
        <v>0.14</v>
      </c>
      <c r="I15" s="8">
        <f t="shared" si="0"/>
        <v>42.857142857142854</v>
      </c>
      <c r="J15" s="25">
        <f>(Data!$I15+Beregning!$E$6*Data!$J15)</f>
        <v>0.13</v>
      </c>
      <c r="K15" s="8">
        <f t="shared" si="1"/>
        <v>46.15384615384615</v>
      </c>
      <c r="L15" s="25">
        <f>(Data!$K15+Beregning!$E$6*Data!$L15)</f>
        <v>0.17</v>
      </c>
      <c r="M15" s="8">
        <f t="shared" si="2"/>
        <v>35.29411764705882</v>
      </c>
      <c r="N15" s="25">
        <f>(Data!$M15+Beregning!$E$6*Data!$N15)</f>
        <v>0.15</v>
      </c>
      <c r="O15" s="6">
        <f t="shared" si="3"/>
        <v>40</v>
      </c>
    </row>
    <row r="16" spans="1:15" ht="12.75">
      <c r="A16" s="44" t="s">
        <v>60</v>
      </c>
      <c r="B16" s="12">
        <v>8.5</v>
      </c>
      <c r="C16" s="54"/>
      <c r="D16" s="11"/>
      <c r="E16" s="23"/>
      <c r="F16" s="25">
        <f>SUM(Data!$E16+Beregning!$E$6*Data!$F16)</f>
        <v>0.15</v>
      </c>
      <c r="G16" s="8">
        <f t="shared" si="4"/>
        <v>56.66666666666667</v>
      </c>
      <c r="H16" s="27">
        <f>(Data!$G16+Beregning!$E$6*Data!$H16)</f>
        <v>0.14</v>
      </c>
      <c r="I16" s="8">
        <f t="shared" si="0"/>
        <v>60.71428571428571</v>
      </c>
      <c r="J16" s="25">
        <f>(Data!$I16+Beregning!$E$6*Data!$J16)</f>
        <v>0.13</v>
      </c>
      <c r="K16" s="8">
        <f>(B16/J16)</f>
        <v>65.38461538461539</v>
      </c>
      <c r="L16" s="25">
        <f>(Data!$K16+Beregning!$E$6*Data!$L16)</f>
        <v>0.17</v>
      </c>
      <c r="M16" s="8">
        <f>(B16/L16)</f>
        <v>49.99999999999999</v>
      </c>
      <c r="N16" s="25">
        <f>(Data!$M16+Beregning!$E$6*Data!$N16)</f>
        <v>0.15</v>
      </c>
      <c r="O16" s="6">
        <f>(B16/N16)</f>
        <v>56.66666666666667</v>
      </c>
    </row>
    <row r="17" spans="1:15" ht="12.75">
      <c r="A17" s="44" t="s">
        <v>48</v>
      </c>
      <c r="B17" s="12">
        <v>17.7</v>
      </c>
      <c r="C17" s="54"/>
      <c r="D17" s="6" t="s">
        <v>5</v>
      </c>
      <c r="E17" s="23" t="s">
        <v>5</v>
      </c>
      <c r="F17" s="25">
        <f>SUM(Data!$E17+Beregning!$E$6*Data!$F17)</f>
        <v>0.15</v>
      </c>
      <c r="G17" s="8">
        <f t="shared" si="4"/>
        <v>118</v>
      </c>
      <c r="H17" s="27">
        <f>(Data!$G17+Beregning!$E$6*Data!$H17)</f>
        <v>0.14</v>
      </c>
      <c r="I17" s="8">
        <f aca="true" t="shared" si="5" ref="I17:I39">SUM(B17/H17)</f>
        <v>126.42857142857142</v>
      </c>
      <c r="J17" s="25">
        <f>(Data!$I17+Beregning!$E$6*Data!$J17)</f>
        <v>0.13</v>
      </c>
      <c r="K17" s="8">
        <f aca="true" t="shared" si="6" ref="K17:K39">SUM(B17/J17)</f>
        <v>136.15384615384613</v>
      </c>
      <c r="L17" s="25">
        <f>(Data!$K17+Beregning!$E$6*Data!$L17)</f>
        <v>0.17</v>
      </c>
      <c r="M17" s="8">
        <f aca="true" t="shared" si="7" ref="M17:M39">SUM(B17/L17)</f>
        <v>104.11764705882352</v>
      </c>
      <c r="N17" s="25">
        <f>(Data!$M17+Beregning!$E$6*Data!$N17)</f>
        <v>0.15</v>
      </c>
      <c r="O17" s="6">
        <f aca="true" t="shared" si="8" ref="O17:O39">SUM(B17/N17)</f>
        <v>118</v>
      </c>
    </row>
    <row r="18" spans="1:15" ht="12.75">
      <c r="A18" s="44" t="s">
        <v>49</v>
      </c>
      <c r="B18" s="12">
        <v>16.8</v>
      </c>
      <c r="C18" s="54"/>
      <c r="D18" s="6">
        <f>SUM(Data!$C18+Beregning!$E$6*Data!$D18)</f>
        <v>0.22</v>
      </c>
      <c r="E18" s="8">
        <f aca="true" t="shared" si="9" ref="E18:E39">SUM(B18/D18)</f>
        <v>76.36363636363636</v>
      </c>
      <c r="F18" s="25">
        <f>SUM(Data!$E18+Beregning!$E$6*Data!$F18)</f>
        <v>0.21</v>
      </c>
      <c r="G18" s="8">
        <f t="shared" si="4"/>
        <v>80</v>
      </c>
      <c r="H18" s="27">
        <f>(Data!$G18+Beregning!$E$6*Data!$H18)</f>
        <v>0.21</v>
      </c>
      <c r="I18" s="8">
        <f t="shared" si="5"/>
        <v>80</v>
      </c>
      <c r="J18" s="25">
        <f>(Data!$I18+Beregning!$E$6*Data!$J18)</f>
        <v>0.21</v>
      </c>
      <c r="K18" s="8">
        <f t="shared" si="6"/>
        <v>80</v>
      </c>
      <c r="L18" s="25">
        <f>(Data!$K18+Beregning!$E$6*Data!$L18)</f>
        <v>0.26</v>
      </c>
      <c r="M18" s="8">
        <f t="shared" si="7"/>
        <v>64.61538461538461</v>
      </c>
      <c r="N18" s="25">
        <f>(Data!$M18+Beregning!$E$6*Data!$N18)</f>
        <v>0.22</v>
      </c>
      <c r="O18" s="6">
        <f t="shared" si="8"/>
        <v>76.36363636363636</v>
      </c>
    </row>
    <row r="19" spans="1:15" ht="12.75">
      <c r="A19" s="44" t="s">
        <v>50</v>
      </c>
      <c r="B19" s="12">
        <v>16.3</v>
      </c>
      <c r="C19" s="54"/>
      <c r="D19" s="6">
        <f>SUM(Data!$C19+Beregning!$E$6*Data!$D19)</f>
        <v>0.35</v>
      </c>
      <c r="E19" s="8">
        <f t="shared" si="9"/>
        <v>46.57142857142858</v>
      </c>
      <c r="F19" s="25">
        <f>SUM(Data!$E19+Beregning!$E$6*Data!$F19)</f>
        <v>0.32</v>
      </c>
      <c r="G19" s="8">
        <f t="shared" si="4"/>
        <v>50.9375</v>
      </c>
      <c r="H19" s="27">
        <f>(Data!$G19+Beregning!$E$6*Data!$H19)</f>
        <v>0.33</v>
      </c>
      <c r="I19" s="8">
        <f t="shared" si="5"/>
        <v>49.39393939393939</v>
      </c>
      <c r="J19" s="25">
        <f>(Data!$I19+Beregning!$E$6*Data!$J19)</f>
        <v>0.33</v>
      </c>
      <c r="K19" s="8">
        <f t="shared" si="6"/>
        <v>49.39393939393939</v>
      </c>
      <c r="L19" s="25">
        <f>(Data!$K19+Beregning!$E$6*Data!$L19)</f>
        <v>0.35</v>
      </c>
      <c r="M19" s="8">
        <f t="shared" si="7"/>
        <v>46.57142857142858</v>
      </c>
      <c r="N19" s="25">
        <f>(Data!$M19+Beregning!$E$6*Data!$N19)</f>
        <v>0.34</v>
      </c>
      <c r="O19" s="6">
        <f t="shared" si="8"/>
        <v>47.94117647058823</v>
      </c>
    </row>
    <row r="20" spans="1:15" ht="12.75">
      <c r="A20" s="44" t="s">
        <v>65</v>
      </c>
      <c r="B20" s="12">
        <v>30</v>
      </c>
      <c r="C20" s="54"/>
      <c r="D20" s="6">
        <f>SUM(Data!$C20+Beregning!$E$6*Data!$D20)</f>
        <v>0.45</v>
      </c>
      <c r="E20" s="8">
        <f t="shared" si="9"/>
        <v>66.66666666666667</v>
      </c>
      <c r="F20" s="25">
        <f>SUM(Data!$E20+Beregning!$E$6*Data!$F20)</f>
        <v>0.45</v>
      </c>
      <c r="G20" s="8">
        <f t="shared" si="4"/>
        <v>66.66666666666667</v>
      </c>
      <c r="H20" s="27">
        <f>(Data!$G20+Beregning!$E$6*Data!$H20)</f>
        <v>0.42</v>
      </c>
      <c r="I20" s="8">
        <f t="shared" si="5"/>
        <v>71.42857142857143</v>
      </c>
      <c r="J20" s="25">
        <f>(Data!$I20+Beregning!$E$6*Data!$J20)</f>
        <v>0.43</v>
      </c>
      <c r="K20" s="8">
        <f t="shared" si="6"/>
        <v>69.76744186046511</v>
      </c>
      <c r="L20" s="25">
        <f>(Data!$K20+Beregning!$E$6*Data!$L20)</f>
        <v>0.45</v>
      </c>
      <c r="M20" s="8">
        <f t="shared" si="7"/>
        <v>66.66666666666667</v>
      </c>
      <c r="N20" s="25">
        <f>(Data!$M20+Beregning!$E$6*Data!$N20)</f>
        <v>0.49</v>
      </c>
      <c r="O20" s="6">
        <f t="shared" si="8"/>
        <v>61.224489795918366</v>
      </c>
    </row>
    <row r="21" spans="1:15" ht="12.75">
      <c r="A21" s="44" t="s">
        <v>66</v>
      </c>
      <c r="B21" s="12">
        <v>40</v>
      </c>
      <c r="C21" s="54"/>
      <c r="D21" s="6">
        <f>SUM(Data!$C21+Beregning!$E$6*Data!$D21)</f>
        <v>0.58</v>
      </c>
      <c r="E21" s="8">
        <f t="shared" si="9"/>
        <v>68.96551724137932</v>
      </c>
      <c r="F21" s="25">
        <f>SUM(Data!$E21+Beregning!$E$6*Data!$F21)</f>
        <v>0.55</v>
      </c>
      <c r="G21" s="8">
        <f t="shared" si="4"/>
        <v>72.72727272727272</v>
      </c>
      <c r="H21" s="27">
        <f>(Data!$G21+Beregning!$E$6*Data!$H21)</f>
        <v>0.57</v>
      </c>
      <c r="I21" s="8">
        <f t="shared" si="5"/>
        <v>70.17543859649123</v>
      </c>
      <c r="J21" s="25">
        <f>(Data!$I21+Beregning!$E$6*Data!$J21)</f>
        <v>0.55</v>
      </c>
      <c r="K21" s="8">
        <f t="shared" si="6"/>
        <v>72.72727272727272</v>
      </c>
      <c r="L21" s="25">
        <f>(Data!$K21+Beregning!$E$6*Data!$L21)</f>
        <v>0.57</v>
      </c>
      <c r="M21" s="8">
        <f t="shared" si="7"/>
        <v>70.17543859649123</v>
      </c>
      <c r="N21" s="25">
        <f>(Data!$M21+Beregning!$E$6*Data!$N21)</f>
        <v>0.57</v>
      </c>
      <c r="O21" s="6">
        <f t="shared" si="8"/>
        <v>70.17543859649123</v>
      </c>
    </row>
    <row r="22" spans="1:15" ht="12.75">
      <c r="A22" s="44" t="s">
        <v>51</v>
      </c>
      <c r="B22" s="12">
        <v>55</v>
      </c>
      <c r="C22" s="54"/>
      <c r="D22" s="6">
        <f>SUM(Data!$C22+Beregning!$E$6*Data!$D22)</f>
        <v>0.67</v>
      </c>
      <c r="E22" s="8">
        <f t="shared" si="9"/>
        <v>82.08955223880596</v>
      </c>
      <c r="F22" s="25">
        <f>SUM(Data!$E22+Beregning!$E$6*Data!$F22)</f>
        <v>0.72</v>
      </c>
      <c r="G22" s="8">
        <f t="shared" si="4"/>
        <v>76.38888888888889</v>
      </c>
      <c r="H22" s="27">
        <f>(Data!$G22+Beregning!$E$6*Data!$H22)</f>
        <v>0.72</v>
      </c>
      <c r="I22" s="8">
        <f t="shared" si="5"/>
        <v>76.38888888888889</v>
      </c>
      <c r="J22" s="25">
        <f>(Data!$I22+Beregning!$E$6*Data!$J22)</f>
        <v>0.73</v>
      </c>
      <c r="K22" s="8">
        <f t="shared" si="6"/>
        <v>75.34246575342466</v>
      </c>
      <c r="L22" s="25">
        <f>(Data!$K22+Beregning!$E$6*Data!$L22)</f>
        <v>0.79</v>
      </c>
      <c r="M22" s="8">
        <f t="shared" si="7"/>
        <v>69.62025316455696</v>
      </c>
      <c r="N22" s="25">
        <f>(Data!$M22+Beregning!$E$6*Data!$N22)</f>
        <v>0.74</v>
      </c>
      <c r="O22" s="6">
        <f t="shared" si="8"/>
        <v>74.32432432432432</v>
      </c>
    </row>
    <row r="23" spans="1:15" ht="12.75">
      <c r="A23" s="44" t="s">
        <v>52</v>
      </c>
      <c r="B23" s="12">
        <v>70</v>
      </c>
      <c r="C23" s="54"/>
      <c r="D23" s="6">
        <f>SUM(Data!$C23+Beregning!$E$6*Data!$D23)</f>
        <v>0.67</v>
      </c>
      <c r="E23" s="8">
        <f>SUM(B23/D23)</f>
        <v>104.4776119402985</v>
      </c>
      <c r="F23" s="25">
        <f>SUM(Data!$E23+Beregning!$E$6*Data!$F23)</f>
        <v>0.72</v>
      </c>
      <c r="G23" s="8">
        <f>SUM(B23/F23)</f>
        <v>97.22222222222223</v>
      </c>
      <c r="H23" s="27">
        <f>(Data!$G23+Beregning!$E$6*Data!$H23)</f>
        <v>0.72</v>
      </c>
      <c r="I23" s="8">
        <f>SUM(B23/H23)</f>
        <v>97.22222222222223</v>
      </c>
      <c r="J23" s="25">
        <f>(Data!$I23+Beregning!$E$6*Data!$J23)</f>
        <v>0.73</v>
      </c>
      <c r="K23" s="8">
        <f>SUM(B23/J23)</f>
        <v>95.89041095890411</v>
      </c>
      <c r="L23" s="25">
        <f>(Data!$K23+Beregning!$E$6*Data!$L23)</f>
        <v>0.79</v>
      </c>
      <c r="M23" s="8">
        <f>SUM(B23/L23)</f>
        <v>88.60759493670885</v>
      </c>
      <c r="N23" s="25">
        <f>(Data!$M23+Beregning!$E$6*Data!$N23)</f>
        <v>0.74</v>
      </c>
      <c r="O23" s="6">
        <f>SUM(B23/N23)</f>
        <v>94.5945945945946</v>
      </c>
    </row>
    <row r="24" spans="1:15" ht="12.75">
      <c r="A24" s="44" t="s">
        <v>67</v>
      </c>
      <c r="B24" s="12">
        <v>70</v>
      </c>
      <c r="C24" s="54"/>
      <c r="D24" s="6">
        <f>SUM(Data!$C24+Beregning!$E$6*Data!$D24)</f>
        <v>0.86</v>
      </c>
      <c r="E24" s="8">
        <f t="shared" si="9"/>
        <v>81.3953488372093</v>
      </c>
      <c r="F24" s="25">
        <f>SUM(Data!$E24+Beregning!$E$6*Data!$F24)</f>
        <v>0.96</v>
      </c>
      <c r="G24" s="8">
        <f t="shared" si="4"/>
        <v>72.91666666666667</v>
      </c>
      <c r="H24" s="27">
        <f>(Data!$G24+Beregning!$E$6*Data!$H24)</f>
        <v>0.92</v>
      </c>
      <c r="I24" s="8">
        <f t="shared" si="5"/>
        <v>76.08695652173913</v>
      </c>
      <c r="J24" s="25">
        <f>(Data!$I24+Beregning!$E$6*Data!$J24)</f>
        <v>0.96</v>
      </c>
      <c r="K24" s="8">
        <f t="shared" si="6"/>
        <v>72.91666666666667</v>
      </c>
      <c r="L24" s="25">
        <f>(Data!$K24+Beregning!$E$6*Data!$L24)</f>
        <v>1.02</v>
      </c>
      <c r="M24" s="8">
        <f t="shared" si="7"/>
        <v>68.62745098039215</v>
      </c>
      <c r="N24" s="25">
        <f>(Data!$M24+Beregning!$E$6*Data!$N24)</f>
        <v>0.95</v>
      </c>
      <c r="O24" s="6">
        <f t="shared" si="8"/>
        <v>73.6842105263158</v>
      </c>
    </row>
    <row r="25" spans="1:15" ht="12.75">
      <c r="A25" s="44" t="s">
        <v>53</v>
      </c>
      <c r="B25" s="12">
        <v>90</v>
      </c>
      <c r="C25" s="54"/>
      <c r="D25" s="6">
        <f>SUM(Data!$C25+Beregning!$E$6*Data!$D25)</f>
        <v>1.22</v>
      </c>
      <c r="E25" s="8">
        <f t="shared" si="9"/>
        <v>73.77049180327869</v>
      </c>
      <c r="F25" s="25">
        <f>SUM(Data!$E25+Beregning!$E$6*Data!$F25)</f>
        <v>1.2</v>
      </c>
      <c r="G25" s="8">
        <f t="shared" si="4"/>
        <v>75</v>
      </c>
      <c r="H25" s="27">
        <f>(Data!$G25+Beregning!$E$6*Data!$H25)</f>
        <v>1.17</v>
      </c>
      <c r="I25" s="8">
        <f t="shared" si="5"/>
        <v>76.92307692307693</v>
      </c>
      <c r="J25" s="25">
        <f>(Data!$I25+Beregning!$E$6*Data!$J25)</f>
        <v>1.23</v>
      </c>
      <c r="K25" s="8">
        <f t="shared" si="6"/>
        <v>73.17073170731707</v>
      </c>
      <c r="L25" s="25">
        <f>(Data!$K25+Beregning!$E$6*Data!$L25)</f>
        <v>1.19</v>
      </c>
      <c r="M25" s="8">
        <f t="shared" si="7"/>
        <v>75.63025210084034</v>
      </c>
      <c r="N25" s="25">
        <f>(Data!$M25+Beregning!$E$6*Data!$N25)</f>
        <v>1.17</v>
      </c>
      <c r="O25" s="6">
        <f t="shared" si="8"/>
        <v>76.92307692307693</v>
      </c>
    </row>
    <row r="26" spans="1:15" ht="12.75">
      <c r="A26" s="44" t="s">
        <v>40</v>
      </c>
      <c r="B26" s="12">
        <v>106</v>
      </c>
      <c r="C26" s="54"/>
      <c r="D26" s="6">
        <f>SUM(Data!$C26+Beregning!$E$6*Data!$D26)</f>
        <v>1.43</v>
      </c>
      <c r="E26" s="8">
        <f t="shared" si="9"/>
        <v>74.12587412587413</v>
      </c>
      <c r="F26" s="25">
        <f>SUM(Data!$E26+Beregning!$E$6*Data!$F26)</f>
        <v>1.51</v>
      </c>
      <c r="G26" s="8">
        <f t="shared" si="4"/>
        <v>70.19867549668874</v>
      </c>
      <c r="H26" s="27">
        <f>(Data!$G26+Beregning!$E$6*Data!$H26)</f>
        <v>1.53</v>
      </c>
      <c r="I26" s="8">
        <f t="shared" si="5"/>
        <v>69.28104575163398</v>
      </c>
      <c r="J26" s="25">
        <f>(Data!$I26+Beregning!$E$6*Data!$J26)</f>
        <v>1.5</v>
      </c>
      <c r="K26" s="8">
        <f t="shared" si="6"/>
        <v>70.66666666666667</v>
      </c>
      <c r="L26" s="25">
        <f>(Data!$K26+Beregning!$E$6*Data!$L26)</f>
        <v>1.65</v>
      </c>
      <c r="M26" s="8">
        <f t="shared" si="7"/>
        <v>64.24242424242425</v>
      </c>
      <c r="N26" s="25">
        <f>(Data!$M26+Beregning!$E$6*Data!$N26)</f>
        <v>1.49</v>
      </c>
      <c r="O26" s="6">
        <f t="shared" si="8"/>
        <v>71.14093959731544</v>
      </c>
    </row>
    <row r="27" spans="1:15" ht="12.75">
      <c r="A27" s="44" t="s">
        <v>41</v>
      </c>
      <c r="B27" s="12">
        <v>116</v>
      </c>
      <c r="C27" s="54"/>
      <c r="D27" s="6">
        <f>SUM(Data!$C27+Beregning!$E$6*Data!$D27)</f>
        <v>1.72</v>
      </c>
      <c r="E27" s="8">
        <f t="shared" si="9"/>
        <v>67.44186046511628</v>
      </c>
      <c r="F27" s="25">
        <f>SUM(Data!$E27+Beregning!$E$6*Data!$F27)</f>
        <v>1.89</v>
      </c>
      <c r="G27" s="8">
        <f t="shared" si="4"/>
        <v>61.37566137566138</v>
      </c>
      <c r="H27" s="27">
        <f>(Data!$G27+Beregning!$E$6*Data!$H27)</f>
        <v>1.8</v>
      </c>
      <c r="I27" s="8">
        <f t="shared" si="5"/>
        <v>64.44444444444444</v>
      </c>
      <c r="J27" s="25">
        <f>(Data!$I27+Beregning!$E$6*Data!$J27)</f>
        <v>1.83</v>
      </c>
      <c r="K27" s="8">
        <f t="shared" si="6"/>
        <v>63.3879781420765</v>
      </c>
      <c r="L27" s="25">
        <f>(Data!$K27+Beregning!$E$6*Data!$L27)</f>
        <v>1.92</v>
      </c>
      <c r="M27" s="8">
        <f t="shared" si="7"/>
        <v>60.41666666666667</v>
      </c>
      <c r="N27" s="25">
        <f>(Data!$M27+Beregning!$E$6*Data!$N27)</f>
        <v>1.96</v>
      </c>
      <c r="O27" s="6">
        <f t="shared" si="8"/>
        <v>59.183673469387756</v>
      </c>
    </row>
    <row r="28" spans="1:15" ht="12.75">
      <c r="A28" s="44" t="s">
        <v>68</v>
      </c>
      <c r="B28" s="12">
        <v>170</v>
      </c>
      <c r="C28" s="54"/>
      <c r="D28" s="6">
        <f>SUM(Data!$C28+Beregning!$E$6*Data!$D28)</f>
        <v>2.27</v>
      </c>
      <c r="E28" s="8">
        <f t="shared" si="9"/>
        <v>74.8898678414097</v>
      </c>
      <c r="F28" s="25">
        <f>SUM(Data!$E28+Beregning!$E$6*Data!$F28)</f>
        <v>2.39</v>
      </c>
      <c r="G28" s="8">
        <f t="shared" si="4"/>
        <v>71.1297071129707</v>
      </c>
      <c r="H28" s="27">
        <f>(Data!$G28+Beregning!$E$6*Data!$H28)</f>
        <v>2.46</v>
      </c>
      <c r="I28" s="8">
        <f t="shared" si="5"/>
        <v>69.10569105691057</v>
      </c>
      <c r="J28" s="25">
        <f>(Data!$I28+Beregning!$E$6*Data!$J28)</f>
        <v>2.37</v>
      </c>
      <c r="K28" s="8">
        <f t="shared" si="6"/>
        <v>71.72995780590718</v>
      </c>
      <c r="L28" s="25">
        <f>(Data!$K28+Beregning!$E$6*Data!$L28)</f>
        <v>2.45</v>
      </c>
      <c r="M28" s="8">
        <f t="shared" si="7"/>
        <v>69.38775510204081</v>
      </c>
      <c r="N28" s="25">
        <f>(Data!$M28+Beregning!$E$6*Data!$N28)</f>
        <v>2.5</v>
      </c>
      <c r="O28" s="6">
        <f t="shared" si="8"/>
        <v>68</v>
      </c>
    </row>
    <row r="29" spans="1:15" ht="12.75">
      <c r="A29" s="44" t="s">
        <v>69</v>
      </c>
      <c r="B29" s="12">
        <v>210</v>
      </c>
      <c r="C29" s="54"/>
      <c r="D29" s="6">
        <f>SUM(Data!$C29+Beregning!$E$6*Data!$D29)</f>
        <v>2.67</v>
      </c>
      <c r="E29" s="8">
        <f t="shared" si="9"/>
        <v>78.65168539325843</v>
      </c>
      <c r="F29" s="25">
        <f>SUM(Data!$E29+Beregning!$E$6*Data!$F29)</f>
        <v>3.03</v>
      </c>
      <c r="G29" s="8">
        <f t="shared" si="4"/>
        <v>69.3069306930693</v>
      </c>
      <c r="H29" s="27">
        <f>(Data!$G29+Beregning!$E$6*Data!$H29)</f>
        <v>3.02</v>
      </c>
      <c r="I29" s="8">
        <f t="shared" si="5"/>
        <v>69.5364238410596</v>
      </c>
      <c r="J29" s="25">
        <f>(Data!$I29+Beregning!$E$6*Data!$J29)</f>
        <v>3.71</v>
      </c>
      <c r="K29" s="8">
        <f t="shared" si="6"/>
        <v>56.60377358490566</v>
      </c>
      <c r="L29" s="25">
        <f>(Data!$K29+Beregning!$E$6*Data!$L29)</f>
        <v>3.12</v>
      </c>
      <c r="M29" s="8">
        <f t="shared" si="7"/>
        <v>67.3076923076923</v>
      </c>
      <c r="N29" s="25">
        <f>(Data!$M29+Beregning!$E$6*Data!$N29)</f>
        <v>3.06</v>
      </c>
      <c r="O29" s="6">
        <f t="shared" si="8"/>
        <v>68.62745098039215</v>
      </c>
    </row>
    <row r="30" spans="1:15" ht="12.75">
      <c r="A30" s="44" t="s">
        <v>42</v>
      </c>
      <c r="B30" s="12">
        <v>256</v>
      </c>
      <c r="C30" s="54"/>
      <c r="D30" s="6">
        <f>SUM(Data!$C30+Beregning!$E$6*Data!$D30)</f>
        <v>3.71</v>
      </c>
      <c r="E30" s="8">
        <f t="shared" si="9"/>
        <v>69.00269541778975</v>
      </c>
      <c r="F30" s="25">
        <f>SUM(Data!$E30+Beregning!$E$6*Data!$F30)</f>
        <v>3.89</v>
      </c>
      <c r="G30" s="8">
        <f t="shared" si="4"/>
        <v>65.80976863753213</v>
      </c>
      <c r="H30" s="27">
        <f>(Data!$G30+Beregning!$E$6*Data!$H30)</f>
        <v>3.82</v>
      </c>
      <c r="I30" s="8">
        <f t="shared" si="5"/>
        <v>67.01570680628272</v>
      </c>
      <c r="J30" s="25">
        <f>(Data!$I30+Beregning!$E$6*Data!$J30)</f>
        <v>3.8</v>
      </c>
      <c r="K30" s="8">
        <f t="shared" si="6"/>
        <v>67.36842105263158</v>
      </c>
      <c r="L30" s="25">
        <f>(Data!$K30+Beregning!$E$6*Data!$L30)</f>
        <v>3.86</v>
      </c>
      <c r="M30" s="8">
        <f t="shared" si="7"/>
        <v>66.32124352331607</v>
      </c>
      <c r="N30" s="25">
        <f>(Data!$M30+Beregning!$E$6*Data!$N30)</f>
        <v>3.66</v>
      </c>
      <c r="O30" s="6">
        <f t="shared" si="8"/>
        <v>69.94535519125682</v>
      </c>
    </row>
    <row r="31" spans="1:15" ht="12.75">
      <c r="A31" s="44" t="s">
        <v>43</v>
      </c>
      <c r="B31" s="12">
        <v>300</v>
      </c>
      <c r="C31" s="54"/>
      <c r="D31" s="6">
        <f>SUM(Data!$C31+Beregning!$E$6*Data!$D31)</f>
        <v>4.17</v>
      </c>
      <c r="E31" s="8">
        <f t="shared" si="9"/>
        <v>71.94244604316548</v>
      </c>
      <c r="F31" s="25">
        <f>SUM(Data!$E31+Beregning!$E$6*Data!$F31)</f>
        <v>4.36</v>
      </c>
      <c r="G31" s="8">
        <f t="shared" si="4"/>
        <v>68.80733944954127</v>
      </c>
      <c r="H31" s="27">
        <f>(Data!$G31+Beregning!$E$6*Data!$H31)</f>
        <v>3.87</v>
      </c>
      <c r="I31" s="8">
        <f t="shared" si="5"/>
        <v>77.51937984496124</v>
      </c>
      <c r="J31" s="25">
        <f>(Data!$I31+Beregning!$E$6*Data!$J31)</f>
        <v>3.89</v>
      </c>
      <c r="K31" s="8">
        <f t="shared" si="6"/>
        <v>77.12082262210797</v>
      </c>
      <c r="L31" s="25">
        <f>(Data!$K31+Beregning!$E$6*Data!$L31)</f>
        <v>3.73</v>
      </c>
      <c r="M31" s="8">
        <f t="shared" si="7"/>
        <v>80.4289544235925</v>
      </c>
      <c r="N31" s="25">
        <f>(Data!$M31+Beregning!$E$6*Data!$N31)</f>
        <v>3.3</v>
      </c>
      <c r="O31" s="6">
        <f t="shared" si="8"/>
        <v>90.90909090909092</v>
      </c>
    </row>
    <row r="32" spans="1:15" ht="12.75">
      <c r="A32" s="44" t="s">
        <v>44</v>
      </c>
      <c r="B32" s="12">
        <v>400</v>
      </c>
      <c r="C32" s="54"/>
      <c r="D32" s="6">
        <f>SUM(Data!$C32+Beregning!$E$6*Data!$D32)</f>
        <v>5.14</v>
      </c>
      <c r="E32" s="8">
        <f t="shared" si="9"/>
        <v>77.82101167315176</v>
      </c>
      <c r="F32" s="25">
        <f>SUM(Data!$E32+Beregning!$E$6*Data!$F32)</f>
        <v>5.44</v>
      </c>
      <c r="G32" s="8">
        <f t="shared" si="4"/>
        <v>73.52941176470588</v>
      </c>
      <c r="H32" s="27">
        <f>(Data!$G32+Beregning!$E$6*Data!$H32)</f>
        <v>4.96</v>
      </c>
      <c r="I32" s="8">
        <f t="shared" si="5"/>
        <v>80.64516129032258</v>
      </c>
      <c r="J32" s="25">
        <f>(Data!$I32+Beregning!$E$6*Data!$J32)</f>
        <v>4.96</v>
      </c>
      <c r="K32" s="8">
        <f t="shared" si="6"/>
        <v>80.64516129032258</v>
      </c>
      <c r="L32" s="25">
        <f>(Data!$K32+Beregning!$E$6*Data!$L32)</f>
        <v>4.69</v>
      </c>
      <c r="M32" s="8">
        <f t="shared" si="7"/>
        <v>85.28784648187633</v>
      </c>
      <c r="N32" s="25">
        <f>(Data!$M32+Beregning!$E$6*Data!$N32)</f>
        <v>4.2</v>
      </c>
      <c r="O32" s="6">
        <f t="shared" si="8"/>
        <v>95.23809523809524</v>
      </c>
    </row>
    <row r="33" spans="1:15" ht="12.75">
      <c r="A33" s="44" t="s">
        <v>70</v>
      </c>
      <c r="B33" s="12">
        <v>720</v>
      </c>
      <c r="C33" s="54"/>
      <c r="D33" s="6">
        <f>SUM(Data!$C33+Beregning!$E$6*Data!$D33)</f>
        <v>6.55</v>
      </c>
      <c r="E33" s="8">
        <f t="shared" si="9"/>
        <v>109.92366412213741</v>
      </c>
      <c r="F33" s="25">
        <f>SUM(Data!$E33+Beregning!$E$6*Data!$F33)</f>
        <v>6.65</v>
      </c>
      <c r="G33" s="8">
        <f t="shared" si="4"/>
        <v>108.27067669172932</v>
      </c>
      <c r="H33" s="27">
        <f>(Data!$G33+Beregning!$E$6*Data!$H33)</f>
        <v>6.1</v>
      </c>
      <c r="I33" s="8">
        <f t="shared" si="5"/>
        <v>118.03278688524591</v>
      </c>
      <c r="J33" s="25">
        <f>(Data!$I33+Beregning!$E$6*Data!$J33)</f>
        <v>6.35</v>
      </c>
      <c r="K33" s="8">
        <f t="shared" si="6"/>
        <v>113.38582677165356</v>
      </c>
      <c r="L33" s="25">
        <f>(Data!$K33+Beregning!$E$6*Data!$L33)</f>
        <v>5.95</v>
      </c>
      <c r="M33" s="8">
        <f t="shared" si="7"/>
        <v>121.00840336134453</v>
      </c>
      <c r="N33" s="25">
        <f>(Data!$M33+Beregning!$E$6*Data!$N33)</f>
        <v>5.24</v>
      </c>
      <c r="O33" s="6">
        <f t="shared" si="8"/>
        <v>137.40458015267174</v>
      </c>
    </row>
    <row r="34" spans="1:15" ht="12.75">
      <c r="A34" s="44" t="s">
        <v>71</v>
      </c>
      <c r="B34" s="12">
        <v>1620</v>
      </c>
      <c r="C34" s="54"/>
      <c r="D34" s="6">
        <f>SUM(Data!$C34+Beregning!$E$6*Data!$D34)</f>
        <v>8.24</v>
      </c>
      <c r="E34" s="8">
        <f t="shared" si="9"/>
        <v>196.60194174757282</v>
      </c>
      <c r="F34" s="25">
        <f>SUM(Data!$E34+Beregning!$E$6*Data!$F34)</f>
        <v>8.37</v>
      </c>
      <c r="G34" s="8">
        <f t="shared" si="4"/>
        <v>193.5483870967742</v>
      </c>
      <c r="H34" s="27">
        <f>(Data!$G34+Beregning!$E$6*Data!$H34)</f>
        <v>7.56</v>
      </c>
      <c r="I34" s="8">
        <f t="shared" si="5"/>
        <v>214.2857142857143</v>
      </c>
      <c r="J34" s="25">
        <f>(Data!$I34+Beregning!$E$6*Data!$J34)</f>
        <v>7.75</v>
      </c>
      <c r="K34" s="8">
        <f t="shared" si="6"/>
        <v>209.03225806451613</v>
      </c>
      <c r="L34" s="25">
        <f>(Data!$K34+Beregning!$E$6*Data!$L34)</f>
        <v>7.41</v>
      </c>
      <c r="M34" s="8">
        <f t="shared" si="7"/>
        <v>218.6234817813765</v>
      </c>
      <c r="N34" s="25">
        <f>(Data!$M34+Beregning!$E$6*Data!$N34)</f>
        <v>6.4</v>
      </c>
      <c r="O34" s="6">
        <f t="shared" si="8"/>
        <v>253.125</v>
      </c>
    </row>
    <row r="35" spans="1:15" ht="12.75">
      <c r="A35" s="44" t="s">
        <v>64</v>
      </c>
      <c r="B35" s="12">
        <v>1160</v>
      </c>
      <c r="C35" s="54"/>
      <c r="D35" s="6">
        <f>SUM(Data!$C35+Beregning!$E$6*Data!$D35)</f>
        <v>10.4</v>
      </c>
      <c r="E35" s="8">
        <f>SUM(B35/D35)</f>
        <v>111.53846153846153</v>
      </c>
      <c r="F35" s="25">
        <f>SUM(Data!$E35+Beregning!$E$6*Data!$F35)</f>
        <v>9.7</v>
      </c>
      <c r="G35" s="8">
        <f>SUM(B35/F35)</f>
        <v>119.5876288659794</v>
      </c>
      <c r="H35" s="27">
        <f>(Data!$G35+Beregning!$E$6*Data!$H35)</f>
        <v>8.99</v>
      </c>
      <c r="I35" s="8">
        <f>SUM(B35/H35)</f>
        <v>129.03225806451613</v>
      </c>
      <c r="J35" s="25">
        <f>(Data!$I35+Beregning!$E$6*Data!$J35)</f>
        <v>8.24</v>
      </c>
      <c r="K35" s="8">
        <f>SUM(B35/J35)</f>
        <v>140.7766990291262</v>
      </c>
      <c r="L35" s="25">
        <f>(Data!$K35+Beregning!$E$6*Data!$L35)</f>
        <v>8.4</v>
      </c>
      <c r="M35" s="8">
        <f>SUM(B35/L35)</f>
        <v>138.0952380952381</v>
      </c>
      <c r="N35" s="25">
        <f>(Data!$M35+Beregning!$E$6*Data!$N35)</f>
        <v>8.98</v>
      </c>
      <c r="O35" s="6">
        <f>SUM(B35/N35)</f>
        <v>129.1759465478842</v>
      </c>
    </row>
    <row r="36" spans="1:15" ht="12.75">
      <c r="A36" s="44" t="s">
        <v>72</v>
      </c>
      <c r="B36" s="12">
        <v>880</v>
      </c>
      <c r="C36" s="54"/>
      <c r="D36" s="6">
        <f>SUM(Data!$C36+Beregning!$E$6*Data!$D36)</f>
        <v>10.5</v>
      </c>
      <c r="E36" s="8">
        <f t="shared" si="9"/>
        <v>83.80952380952381</v>
      </c>
      <c r="F36" s="25">
        <f>SUM(Data!$E36+Beregning!$E$6*Data!$F36)</f>
        <v>10.8</v>
      </c>
      <c r="G36" s="8">
        <f t="shared" si="4"/>
        <v>81.48148148148148</v>
      </c>
      <c r="H36" s="27">
        <f>(Data!$G36+Beregning!$E$6*Data!$H36)</f>
        <v>9.9</v>
      </c>
      <c r="I36" s="8">
        <f t="shared" si="5"/>
        <v>88.88888888888889</v>
      </c>
      <c r="J36" s="25">
        <f>(Data!$I36+Beregning!$E$6*Data!$J36)</f>
        <v>8.24</v>
      </c>
      <c r="K36" s="8">
        <f t="shared" si="6"/>
        <v>106.79611650485437</v>
      </c>
      <c r="L36" s="25">
        <f>(Data!$K36+Beregning!$E$6*Data!$L36)</f>
        <v>9.28</v>
      </c>
      <c r="M36" s="8">
        <f t="shared" si="7"/>
        <v>94.82758620689656</v>
      </c>
      <c r="N36" s="25">
        <f>(Data!$M36+Beregning!$E$6*Data!$N36)</f>
        <v>8.98</v>
      </c>
      <c r="O36" s="6">
        <f t="shared" si="8"/>
        <v>97.99554565701558</v>
      </c>
    </row>
    <row r="37" spans="1:15" ht="12.75">
      <c r="A37" s="44" t="s">
        <v>45</v>
      </c>
      <c r="B37" s="12">
        <v>1200</v>
      </c>
      <c r="C37" s="54"/>
      <c r="D37" s="6">
        <f>SUM(Data!$C37+Beregning!$E$6*Data!$D37)</f>
        <v>13.5</v>
      </c>
      <c r="E37" s="8">
        <f t="shared" si="9"/>
        <v>88.88888888888889</v>
      </c>
      <c r="F37" s="25">
        <f>SUM(Data!$E37+Beregning!$E$6*Data!$F37)</f>
        <v>13.8</v>
      </c>
      <c r="G37" s="8">
        <f t="shared" si="4"/>
        <v>86.95652173913044</v>
      </c>
      <c r="H37" s="27">
        <f>(Data!$G37+Beregning!$E$6*Data!$H37)</f>
        <v>12.5</v>
      </c>
      <c r="I37" s="8">
        <f t="shared" si="5"/>
        <v>96</v>
      </c>
      <c r="J37" s="25">
        <f>(Data!$I37+Beregning!$E$6*Data!$J37)</f>
        <v>12.4</v>
      </c>
      <c r="K37" s="8">
        <f t="shared" si="6"/>
        <v>96.77419354838709</v>
      </c>
      <c r="L37" s="25">
        <f>(Data!$K37+Beregning!$E$6*Data!$L37)</f>
        <v>12</v>
      </c>
      <c r="M37" s="8">
        <f t="shared" si="7"/>
        <v>100</v>
      </c>
      <c r="N37" s="25">
        <f>(Data!$M37+Beregning!$E$6*Data!$N37)</f>
        <v>11</v>
      </c>
      <c r="O37" s="6">
        <f t="shared" si="8"/>
        <v>109.0909090909091</v>
      </c>
    </row>
    <row r="38" spans="1:15" ht="12.75">
      <c r="A38" s="44" t="s">
        <v>47</v>
      </c>
      <c r="B38" s="12">
        <v>1460</v>
      </c>
      <c r="C38" s="54"/>
      <c r="D38" s="6">
        <f>SUM(Data!$C38+Beregning!$E$6*Data!$D38)</f>
        <v>17</v>
      </c>
      <c r="E38" s="8">
        <f t="shared" si="9"/>
        <v>85.88235294117646</v>
      </c>
      <c r="F38" s="25">
        <f>SUM(Data!$E38+Beregning!$E$6*Data!$F38)</f>
        <v>17.6</v>
      </c>
      <c r="G38" s="8">
        <f t="shared" si="4"/>
        <v>82.95454545454545</v>
      </c>
      <c r="H38" s="27">
        <f>(Data!$G38+Beregning!$E$6*Data!$H38)</f>
        <v>15.4</v>
      </c>
      <c r="I38" s="8">
        <f t="shared" si="5"/>
        <v>94.8051948051948</v>
      </c>
      <c r="J38" s="25">
        <f>(Data!$I38+Beregning!$E$6*Data!$J38)</f>
        <v>16.6</v>
      </c>
      <c r="K38" s="8">
        <f t="shared" si="6"/>
        <v>87.95180722891565</v>
      </c>
      <c r="L38" s="25">
        <f>(Data!$K38+Beregning!$E$6*Data!$L38)</f>
        <v>15.1</v>
      </c>
      <c r="M38" s="8">
        <f t="shared" si="7"/>
        <v>96.68874172185431</v>
      </c>
      <c r="N38" s="25">
        <f>(Data!$M38+Beregning!$E$6*Data!$N38)</f>
        <v>14.2</v>
      </c>
      <c r="O38" s="6">
        <f t="shared" si="8"/>
        <v>102.8169014084507</v>
      </c>
    </row>
    <row r="39" spans="1:15" ht="13.5" thickBot="1">
      <c r="A39" s="44" t="s">
        <v>46</v>
      </c>
      <c r="B39" s="12">
        <v>1850</v>
      </c>
      <c r="C39" s="54"/>
      <c r="D39" s="6">
        <f>SUM(Data!$C39+Beregning!$E$6*Data!$D39)</f>
        <v>21.6</v>
      </c>
      <c r="E39" s="8">
        <f t="shared" si="9"/>
        <v>85.64814814814814</v>
      </c>
      <c r="F39" s="25">
        <f>SUM(Data!$E39+Beregning!$E$6*Data!$F39)</f>
        <v>20.7</v>
      </c>
      <c r="G39" s="8">
        <f t="shared" si="4"/>
        <v>89.3719806763285</v>
      </c>
      <c r="H39" s="27">
        <f>(Data!$G39+Beregning!$E$6*Data!$H39)</f>
        <v>20.5</v>
      </c>
      <c r="I39" s="8">
        <f t="shared" si="5"/>
        <v>90.2439024390244</v>
      </c>
      <c r="J39" s="28">
        <f>(Data!$I39+Beregning!$E$6*Data!$J39)</f>
        <v>20.1</v>
      </c>
      <c r="K39" s="7">
        <f t="shared" si="6"/>
        <v>92.03980099502486</v>
      </c>
      <c r="L39" s="25">
        <f>(Data!$K39+Beregning!$E$6*Data!$L39)</f>
        <v>19.3</v>
      </c>
      <c r="M39" s="8">
        <f t="shared" si="7"/>
        <v>95.85492227979275</v>
      </c>
      <c r="N39" s="25">
        <f>(Data!$M39+Beregning!$E$6*Data!$N39)</f>
        <v>18.2</v>
      </c>
      <c r="O39" s="6">
        <f t="shared" si="8"/>
        <v>101.64835164835165</v>
      </c>
    </row>
    <row r="40" spans="5:11" ht="18" customHeight="1" thickBot="1">
      <c r="E40" s="88" t="s">
        <v>20</v>
      </c>
      <c r="F40" s="88"/>
      <c r="I40" s="36" t="s">
        <v>28</v>
      </c>
      <c r="J40" s="37" t="e">
        <f>(VLOOKUP(Beregning!$E$8,$A$5:$O$206,4,FALSE)*Beregning!$E$9)/(VLOOKUP(Beregning!$E$8,$A$5:$O$202,2,FALSE))</f>
        <v>#N/A</v>
      </c>
      <c r="K40" s="37" t="e">
        <f>Beregning!$E$9*(VLOOKUP(Beregning!$E$8,$A$5:$O$206,4,FALSE))</f>
        <v>#N/A</v>
      </c>
    </row>
    <row r="41" spans="5:11" ht="18" customHeight="1" thickBot="1">
      <c r="E41" s="82" t="s">
        <v>20</v>
      </c>
      <c r="F41" s="82"/>
      <c r="I41" s="36" t="s">
        <v>29</v>
      </c>
      <c r="J41" s="37" t="e">
        <f>(VLOOKUP(Beregning!$E$8,$A$5:$O$206,6,FALSE)*Beregning!$E$9)/(VLOOKUP(Beregning!$E$8,$A$5:$O$202,2,FALSE))</f>
        <v>#N/A</v>
      </c>
      <c r="K41" s="37" t="e">
        <f>Beregning!$E$9*(VLOOKUP(Beregning!$E$8,$A$5:$O$206,6,FALSE))</f>
        <v>#N/A</v>
      </c>
    </row>
    <row r="42" spans="5:11" ht="18" customHeight="1" thickBot="1">
      <c r="E42" s="82" t="s">
        <v>20</v>
      </c>
      <c r="F42" s="82"/>
      <c r="I42" s="36" t="s">
        <v>30</v>
      </c>
      <c r="J42" s="37" t="e">
        <f>(VLOOKUP(Beregning!$E$8,$A$5:$O$206,8,FALSE)*Beregning!$E$9)/(VLOOKUP(Beregning!$E$8,$A$5:$O$202,2,FALSE))</f>
        <v>#N/A</v>
      </c>
      <c r="K42" s="37" t="e">
        <f>Beregning!$E$9*(VLOOKUP(Beregning!$E$8,$A$5:$O$206,8,FALSE))</f>
        <v>#N/A</v>
      </c>
    </row>
    <row r="43" spans="5:11" ht="18" customHeight="1">
      <c r="E43" s="82" t="s">
        <v>20</v>
      </c>
      <c r="F43" s="82"/>
      <c r="I43" s="36" t="s">
        <v>2</v>
      </c>
      <c r="J43" s="37" t="e">
        <f>(VLOOKUP(Beregning!$E$8,$A$5:$O$206,10,FALSE)*Beregning!$E$9)/(VLOOKUP(Beregning!$E$8,$A$5:$O$202,2,FALSE))</f>
        <v>#N/A</v>
      </c>
      <c r="K43" s="37" t="e">
        <f>Beregning!$E$9*(VLOOKUP(Beregning!$E$8,$A$5:$O$206,10,FALSE))</f>
        <v>#N/A</v>
      </c>
    </row>
    <row r="44" spans="9:11" ht="18" customHeight="1">
      <c r="I44" s="36" t="s">
        <v>10</v>
      </c>
      <c r="J44" s="37" t="e">
        <f>(VLOOKUP(Beregning!$E$8,$A$5:$O$206,12,FALSE)*Beregning!$E$9)/(VLOOKUP(Beregning!$E$8,$A$5:$O$202,2,FALSE))</f>
        <v>#N/A</v>
      </c>
      <c r="K44" s="37" t="e">
        <f>Beregning!$E$9*(VLOOKUP(Beregning!$E$8,$A$5:$O$206,12,FALSE))</f>
        <v>#N/A</v>
      </c>
    </row>
    <row r="45" spans="9:11" ht="18" customHeight="1">
      <c r="I45" s="36" t="s">
        <v>3</v>
      </c>
      <c r="J45" s="37" t="e">
        <f>(VLOOKUP(Beregning!$E$8,$A$5:$O$206,14,FALSE)*Beregning!$E$9)/(VLOOKUP(Beregning!$E$8,$A$5:$O$202,2,FALSE))</f>
        <v>#N/A</v>
      </c>
      <c r="K45" s="37" t="e">
        <f>Beregning!$E$9*(VLOOKUP(Beregning!$E$8,$A$5:$O$206,14,FALSE))</f>
        <v>#N/A</v>
      </c>
    </row>
    <row r="46" spans="4:12" ht="18" customHeight="1">
      <c r="D46" s="84" t="s">
        <v>23</v>
      </c>
      <c r="E46" s="84"/>
      <c r="F46" s="84"/>
      <c r="G46" s="84"/>
      <c r="H46" s="84"/>
      <c r="I46" s="84"/>
      <c r="J46" s="84"/>
      <c r="K46" s="84"/>
      <c r="L46" s="84"/>
    </row>
    <row r="47" spans="4:12" ht="12.75">
      <c r="D47" s="10" t="s">
        <v>15</v>
      </c>
      <c r="E47" s="10"/>
      <c r="F47" s="10"/>
      <c r="G47" s="10"/>
      <c r="H47" s="10"/>
      <c r="I47" s="10"/>
      <c r="J47" s="10"/>
      <c r="K47" s="10"/>
      <c r="L47" s="10"/>
    </row>
    <row r="48" spans="4:12" ht="12.75">
      <c r="D48" s="10" t="s">
        <v>16</v>
      </c>
      <c r="E48" s="10"/>
      <c r="F48" s="10"/>
      <c r="G48" s="10"/>
      <c r="H48" s="10"/>
      <c r="I48" s="10"/>
      <c r="J48" s="10"/>
      <c r="K48" s="10"/>
      <c r="L48" s="10"/>
    </row>
    <row r="49" spans="4:12" ht="12.75">
      <c r="D49" s="10" t="s">
        <v>17</v>
      </c>
      <c r="E49" s="10"/>
      <c r="F49" s="10"/>
      <c r="G49" s="10"/>
      <c r="H49" s="10"/>
      <c r="I49" s="10"/>
      <c r="J49" s="10"/>
      <c r="K49" s="10"/>
      <c r="L49" s="10"/>
    </row>
    <row r="50" spans="4:12" ht="12.75">
      <c r="D50" s="10" t="s">
        <v>18</v>
      </c>
      <c r="E50" s="10"/>
      <c r="F50" s="10"/>
      <c r="G50" s="10"/>
      <c r="H50" s="10"/>
      <c r="I50" s="10"/>
      <c r="J50" s="10"/>
      <c r="K50" s="10"/>
      <c r="L50" s="10"/>
    </row>
    <row r="51" spans="4:12" ht="12.75">
      <c r="D51" s="10" t="s">
        <v>19</v>
      </c>
      <c r="E51" s="10"/>
      <c r="F51" s="10"/>
      <c r="G51" s="10"/>
      <c r="H51" s="10"/>
      <c r="I51" s="10"/>
      <c r="J51" s="10"/>
      <c r="K51" s="10"/>
      <c r="L51" s="10"/>
    </row>
    <row r="52" spans="1:15" ht="18.75" customHeight="1">
      <c r="A52" s="81" t="s">
        <v>21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4" spans="4:14" ht="12.75">
      <c r="D54" s="83" t="s">
        <v>25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4:14" ht="12.75">
      <c r="D55" s="83" t="s">
        <v>22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5" ht="12.75">
      <c r="A56" s="80" t="s">
        <v>24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5" ht="12.7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</sheetData>
  <sheetProtection password="C5A6" sheet="1" selectLockedCells="1" selectUnlockedCells="1"/>
  <mergeCells count="15">
    <mergeCell ref="N1:O1"/>
    <mergeCell ref="F1:G1"/>
    <mergeCell ref="H1:I1"/>
    <mergeCell ref="E41:F41"/>
    <mergeCell ref="D1:E1"/>
    <mergeCell ref="E40:F40"/>
    <mergeCell ref="J1:K1"/>
    <mergeCell ref="L1:M1"/>
    <mergeCell ref="A56:O57"/>
    <mergeCell ref="A52:O52"/>
    <mergeCell ref="E42:F42"/>
    <mergeCell ref="E43:F43"/>
    <mergeCell ref="D54:N54"/>
    <mergeCell ref="D55:N55"/>
    <mergeCell ref="D46:L46"/>
  </mergeCells>
  <printOptions/>
  <pageMargins left="0.4" right="0.54" top="1" bottom="1" header="0.5" footer="0.5"/>
  <pageSetup horizontalDpi="600" verticalDpi="600" orientation="landscape" paperSize="9" r:id="rId1"/>
  <headerFooter alignWithMargins="0">
    <oddHeader>&amp;C&amp;"Arial,Halvfet"&amp;12Gjennomsnittlig produksjonsvekt på PE 80 eller PE 100 rør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200" zoomScaleNormal="200" zoomScalePageLayoutView="0" workbookViewId="0" topLeftCell="O16">
      <selection activeCell="M35" sqref="M35"/>
    </sheetView>
  </sheetViews>
  <sheetFormatPr defaultColWidth="7.00390625" defaultRowHeight="12.75"/>
  <cols>
    <col min="1" max="14" width="7.00390625" style="0" hidden="1" customWidth="1"/>
  </cols>
  <sheetData>
    <row r="1" spans="3:14" ht="13.5" thickTop="1">
      <c r="C1" s="15" t="s">
        <v>4</v>
      </c>
      <c r="D1" s="16"/>
      <c r="E1" s="15" t="s">
        <v>8</v>
      </c>
      <c r="F1" s="16"/>
      <c r="G1" s="15" t="s">
        <v>9</v>
      </c>
      <c r="H1" s="16"/>
      <c r="I1" s="15" t="s">
        <v>2</v>
      </c>
      <c r="J1" s="16"/>
      <c r="K1" s="15" t="s">
        <v>10</v>
      </c>
      <c r="L1" s="16"/>
      <c r="M1" s="15" t="s">
        <v>3</v>
      </c>
      <c r="N1" s="16"/>
    </row>
    <row r="2" spans="3:14" ht="12.75">
      <c r="C2" s="17"/>
      <c r="D2" s="18"/>
      <c r="E2" s="17"/>
      <c r="F2" s="18"/>
      <c r="G2" s="17"/>
      <c r="H2" s="18"/>
      <c r="I2" s="17"/>
      <c r="J2" s="18"/>
      <c r="K2" s="17"/>
      <c r="L2" s="18"/>
      <c r="M2" s="17"/>
      <c r="N2" s="18"/>
    </row>
    <row r="3" spans="1:14" ht="12.75">
      <c r="A3" t="s">
        <v>0</v>
      </c>
      <c r="B3" t="s">
        <v>1</v>
      </c>
      <c r="C3" s="17" t="s">
        <v>5</v>
      </c>
      <c r="D3" s="18" t="s">
        <v>5</v>
      </c>
      <c r="E3" s="17" t="s">
        <v>5</v>
      </c>
      <c r="F3" s="18" t="s">
        <v>5</v>
      </c>
      <c r="G3" s="17" t="s">
        <v>5</v>
      </c>
      <c r="H3" s="18" t="s">
        <v>5</v>
      </c>
      <c r="I3" s="17" t="s">
        <v>5</v>
      </c>
      <c r="J3" s="18" t="s">
        <v>5</v>
      </c>
      <c r="K3" s="17" t="s">
        <v>5</v>
      </c>
      <c r="L3" s="18" t="s">
        <v>5</v>
      </c>
      <c r="M3" s="17" t="s">
        <v>5</v>
      </c>
      <c r="N3" s="18" t="s">
        <v>5</v>
      </c>
    </row>
    <row r="4" spans="3:14" ht="12.75">
      <c r="C4" s="17"/>
      <c r="D4" s="18"/>
      <c r="E4" s="17"/>
      <c r="F4" s="18"/>
      <c r="G4" s="17"/>
      <c r="H4" s="18"/>
      <c r="I4" s="17"/>
      <c r="J4" s="18"/>
      <c r="K4" s="17"/>
      <c r="L4" s="18"/>
      <c r="M4" s="17"/>
      <c r="N4" s="18"/>
    </row>
    <row r="5" spans="1:14" ht="12.75">
      <c r="A5">
        <v>32</v>
      </c>
      <c r="B5">
        <v>4</v>
      </c>
      <c r="C5" s="17"/>
      <c r="D5" s="18"/>
      <c r="E5" s="17"/>
      <c r="F5" s="18"/>
      <c r="G5" s="17">
        <v>0.02</v>
      </c>
      <c r="H5" s="18">
        <v>1.06</v>
      </c>
      <c r="I5" s="17">
        <v>0.01</v>
      </c>
      <c r="J5" s="18">
        <v>1.06</v>
      </c>
      <c r="K5" s="17">
        <v>0.03</v>
      </c>
      <c r="L5" s="18">
        <v>1</v>
      </c>
      <c r="M5" s="17">
        <v>0.03</v>
      </c>
      <c r="N5" s="18">
        <v>0.91</v>
      </c>
    </row>
    <row r="6" spans="1:14" ht="12.75">
      <c r="A6">
        <v>40</v>
      </c>
      <c r="B6">
        <v>4</v>
      </c>
      <c r="C6" s="17"/>
      <c r="D6" s="18"/>
      <c r="E6" s="17"/>
      <c r="F6" s="18"/>
      <c r="G6" s="17">
        <v>0.03</v>
      </c>
      <c r="H6" s="18">
        <v>1.69</v>
      </c>
      <c r="I6" s="17">
        <v>0.04</v>
      </c>
      <c r="J6" s="18">
        <v>1.67</v>
      </c>
      <c r="K6" s="17">
        <v>0.04</v>
      </c>
      <c r="L6" s="18">
        <v>1.56</v>
      </c>
      <c r="M6" s="17">
        <v>0.03</v>
      </c>
      <c r="N6" s="18">
        <v>1.44</v>
      </c>
    </row>
    <row r="7" spans="1:14" ht="12.75">
      <c r="A7">
        <v>40</v>
      </c>
      <c r="B7">
        <v>6</v>
      </c>
      <c r="C7" s="17"/>
      <c r="D7" s="18"/>
      <c r="E7" s="17"/>
      <c r="F7" s="18"/>
      <c r="G7" s="17">
        <v>0.03</v>
      </c>
      <c r="H7" s="18">
        <v>1.69</v>
      </c>
      <c r="I7" s="17">
        <v>0.04</v>
      </c>
      <c r="J7" s="18">
        <v>1.67</v>
      </c>
      <c r="K7" s="17">
        <v>0.04</v>
      </c>
      <c r="L7" s="18">
        <v>1.56</v>
      </c>
      <c r="M7" s="17">
        <v>0.03</v>
      </c>
      <c r="N7" s="18">
        <v>1.44</v>
      </c>
    </row>
    <row r="8" spans="1:14" ht="12.75">
      <c r="A8">
        <v>40</v>
      </c>
      <c r="B8">
        <v>8.5</v>
      </c>
      <c r="C8" s="17"/>
      <c r="D8" s="18"/>
      <c r="E8" s="17"/>
      <c r="F8" s="18"/>
      <c r="G8" s="17">
        <v>0.03</v>
      </c>
      <c r="H8" s="18">
        <v>1.69</v>
      </c>
      <c r="I8" s="17">
        <v>0.04</v>
      </c>
      <c r="J8" s="18">
        <v>1.67</v>
      </c>
      <c r="K8" s="17">
        <v>0.04</v>
      </c>
      <c r="L8" s="18">
        <v>1.56</v>
      </c>
      <c r="M8" s="17">
        <v>0.03</v>
      </c>
      <c r="N8" s="18">
        <v>1.44</v>
      </c>
    </row>
    <row r="9" spans="1:14" ht="12.75">
      <c r="A9">
        <v>50</v>
      </c>
      <c r="B9">
        <v>4</v>
      </c>
      <c r="C9" s="17"/>
      <c r="D9" s="18"/>
      <c r="E9" s="17">
        <v>0.06</v>
      </c>
      <c r="F9" s="18">
        <v>2.86</v>
      </c>
      <c r="G9" s="17">
        <v>0.06</v>
      </c>
      <c r="H9" s="18">
        <v>2.64</v>
      </c>
      <c r="I9" s="17">
        <v>0.06</v>
      </c>
      <c r="J9" s="18">
        <v>2.62</v>
      </c>
      <c r="K9" s="17">
        <v>0.06</v>
      </c>
      <c r="L9" s="18">
        <v>2.45</v>
      </c>
      <c r="M9" s="17">
        <v>0.06</v>
      </c>
      <c r="N9" s="18">
        <v>2.55</v>
      </c>
    </row>
    <row r="10" spans="1:14" ht="12.75">
      <c r="A10">
        <v>50</v>
      </c>
      <c r="B10">
        <v>6</v>
      </c>
      <c r="C10" s="17"/>
      <c r="D10" s="18"/>
      <c r="E10" s="17">
        <v>0.06</v>
      </c>
      <c r="F10" s="18">
        <v>2.86</v>
      </c>
      <c r="G10" s="17">
        <v>0.06</v>
      </c>
      <c r="H10" s="18">
        <v>2.64</v>
      </c>
      <c r="I10" s="17">
        <v>0.06</v>
      </c>
      <c r="J10" s="18">
        <v>2.62</v>
      </c>
      <c r="K10" s="17">
        <v>0.06</v>
      </c>
      <c r="L10" s="18">
        <v>2.45</v>
      </c>
      <c r="M10" s="17">
        <v>0.06</v>
      </c>
      <c r="N10" s="18">
        <v>2.55</v>
      </c>
    </row>
    <row r="11" spans="1:14" ht="12.75">
      <c r="A11">
        <v>50</v>
      </c>
      <c r="B11">
        <v>8.5</v>
      </c>
      <c r="C11" s="17"/>
      <c r="D11" s="18"/>
      <c r="E11" s="17">
        <v>0.06</v>
      </c>
      <c r="F11" s="18">
        <v>2.86</v>
      </c>
      <c r="G11" s="17">
        <v>0.06</v>
      </c>
      <c r="H11" s="18">
        <v>2.64</v>
      </c>
      <c r="I11" s="17">
        <v>0.06</v>
      </c>
      <c r="J11" s="18">
        <v>2.62</v>
      </c>
      <c r="K11" s="17">
        <v>0.06</v>
      </c>
      <c r="L11" s="18">
        <v>2.45</v>
      </c>
      <c r="M11" s="17">
        <v>0.06</v>
      </c>
      <c r="N11" s="18">
        <v>2.55</v>
      </c>
    </row>
    <row r="12" spans="1:14" ht="12.75">
      <c r="A12">
        <v>63</v>
      </c>
      <c r="B12">
        <v>4</v>
      </c>
      <c r="C12" s="17"/>
      <c r="D12" s="18"/>
      <c r="E12" s="17">
        <v>0.12</v>
      </c>
      <c r="F12" s="18">
        <v>4.54</v>
      </c>
      <c r="G12" s="17">
        <v>0.09</v>
      </c>
      <c r="H12" s="18">
        <v>4.21</v>
      </c>
      <c r="I12" s="17">
        <v>0.09</v>
      </c>
      <c r="J12" s="18">
        <v>4.15</v>
      </c>
      <c r="K12" s="17">
        <v>0.12</v>
      </c>
      <c r="L12" s="18">
        <v>3.88</v>
      </c>
      <c r="M12" s="17">
        <v>0.1</v>
      </c>
      <c r="N12" s="18">
        <v>3.57</v>
      </c>
    </row>
    <row r="13" spans="1:14" ht="12.75">
      <c r="A13">
        <v>63</v>
      </c>
      <c r="B13">
        <v>6</v>
      </c>
      <c r="C13" s="17"/>
      <c r="D13" s="18"/>
      <c r="E13" s="17">
        <v>0.12</v>
      </c>
      <c r="F13" s="18">
        <v>4.54</v>
      </c>
      <c r="G13" s="17">
        <v>0.09</v>
      </c>
      <c r="H13" s="18">
        <v>4.21</v>
      </c>
      <c r="I13" s="17">
        <v>0.09</v>
      </c>
      <c r="J13" s="18">
        <v>4.15</v>
      </c>
      <c r="K13" s="17">
        <v>0.12</v>
      </c>
      <c r="L13" s="18">
        <v>3.88</v>
      </c>
      <c r="M13" s="17">
        <v>0.1</v>
      </c>
      <c r="N13" s="18">
        <v>3.57</v>
      </c>
    </row>
    <row r="14" spans="1:14" ht="12.75">
      <c r="A14">
        <v>63</v>
      </c>
      <c r="B14">
        <v>8.5</v>
      </c>
      <c r="C14" s="17"/>
      <c r="D14" s="18"/>
      <c r="E14" s="17">
        <v>0.12</v>
      </c>
      <c r="F14" s="18">
        <v>4.54</v>
      </c>
      <c r="G14" s="17">
        <v>0.09</v>
      </c>
      <c r="H14" s="18">
        <v>4.21</v>
      </c>
      <c r="I14" s="17">
        <v>0.09</v>
      </c>
      <c r="J14" s="18">
        <v>4.15</v>
      </c>
      <c r="K14" s="17">
        <v>0.12</v>
      </c>
      <c r="L14" s="18">
        <v>3.88</v>
      </c>
      <c r="M14" s="17">
        <v>0.1</v>
      </c>
      <c r="N14" s="18">
        <v>3.57</v>
      </c>
    </row>
    <row r="15" spans="1:14" ht="12.75">
      <c r="A15">
        <v>75</v>
      </c>
      <c r="B15">
        <v>6</v>
      </c>
      <c r="C15" s="17"/>
      <c r="D15" s="18"/>
      <c r="E15" s="17">
        <v>0.15</v>
      </c>
      <c r="F15" s="18">
        <v>6.47</v>
      </c>
      <c r="G15" s="17">
        <v>0.14</v>
      </c>
      <c r="H15" s="18">
        <v>5.96</v>
      </c>
      <c r="I15" s="17">
        <v>0.13</v>
      </c>
      <c r="J15" s="18">
        <v>5.88</v>
      </c>
      <c r="K15" s="17">
        <v>0.17</v>
      </c>
      <c r="L15" s="18">
        <v>5.5</v>
      </c>
      <c r="M15" s="17">
        <v>0.15</v>
      </c>
      <c r="N15" s="18">
        <v>5.09</v>
      </c>
    </row>
    <row r="16" spans="1:14" ht="12.75">
      <c r="A16">
        <v>75</v>
      </c>
      <c r="B16">
        <v>8.5</v>
      </c>
      <c r="C16" s="17"/>
      <c r="D16" s="18"/>
      <c r="E16" s="17">
        <v>0.15</v>
      </c>
      <c r="F16" s="18">
        <v>6.47</v>
      </c>
      <c r="G16" s="17">
        <v>0.14</v>
      </c>
      <c r="H16" s="18">
        <v>5.96</v>
      </c>
      <c r="I16" s="17">
        <v>0.13</v>
      </c>
      <c r="J16" s="18">
        <v>5.88</v>
      </c>
      <c r="K16" s="17">
        <v>0.17</v>
      </c>
      <c r="L16" s="18">
        <v>5.5</v>
      </c>
      <c r="M16" s="17">
        <v>0.15</v>
      </c>
      <c r="N16" s="18">
        <v>5.09</v>
      </c>
    </row>
    <row r="17" spans="1:14" ht="12.75">
      <c r="A17">
        <v>75</v>
      </c>
      <c r="B17">
        <v>15</v>
      </c>
      <c r="C17" s="17"/>
      <c r="D17" s="18" t="s">
        <v>5</v>
      </c>
      <c r="E17" s="17">
        <v>0.15</v>
      </c>
      <c r="F17" s="18">
        <v>6.47</v>
      </c>
      <c r="G17" s="17">
        <v>0.14</v>
      </c>
      <c r="H17" s="18">
        <v>5.96</v>
      </c>
      <c r="I17" s="17">
        <v>0.13</v>
      </c>
      <c r="J17" s="18">
        <v>5.88</v>
      </c>
      <c r="K17" s="17">
        <v>0.17</v>
      </c>
      <c r="L17" s="18">
        <v>5.5</v>
      </c>
      <c r="M17" s="17">
        <v>0.15</v>
      </c>
      <c r="N17" s="18">
        <v>5.09</v>
      </c>
    </row>
    <row r="18" spans="1:14" ht="12.75">
      <c r="A18">
        <v>90</v>
      </c>
      <c r="B18">
        <v>15</v>
      </c>
      <c r="C18" s="17">
        <v>0.22</v>
      </c>
      <c r="D18" s="18">
        <v>9.6</v>
      </c>
      <c r="E18" s="17">
        <v>0.21</v>
      </c>
      <c r="F18" s="18">
        <v>9.31</v>
      </c>
      <c r="G18" s="17">
        <v>0.21</v>
      </c>
      <c r="H18" s="18">
        <v>8.6</v>
      </c>
      <c r="I18" s="17">
        <v>0.21</v>
      </c>
      <c r="J18" s="18">
        <v>8.47</v>
      </c>
      <c r="K18" s="17">
        <v>0.26</v>
      </c>
      <c r="L18" s="18">
        <v>7.93</v>
      </c>
      <c r="M18" s="17">
        <v>0.22</v>
      </c>
      <c r="N18" s="18">
        <v>7.32</v>
      </c>
    </row>
    <row r="19" spans="1:14" ht="12.75">
      <c r="A19">
        <v>110</v>
      </c>
      <c r="B19">
        <v>15</v>
      </c>
      <c r="C19" s="17">
        <v>0.35</v>
      </c>
      <c r="D19" s="18">
        <v>14.4</v>
      </c>
      <c r="E19" s="17">
        <v>0.32</v>
      </c>
      <c r="F19" s="18">
        <v>13.9</v>
      </c>
      <c r="G19" s="17">
        <v>0.33</v>
      </c>
      <c r="H19" s="18">
        <v>12.8</v>
      </c>
      <c r="I19" s="17">
        <v>0.33</v>
      </c>
      <c r="J19" s="18">
        <v>12.7</v>
      </c>
      <c r="K19" s="17">
        <v>0.35</v>
      </c>
      <c r="L19" s="18">
        <v>11.9</v>
      </c>
      <c r="M19" s="17">
        <v>0.34</v>
      </c>
      <c r="N19" s="18">
        <v>10.9</v>
      </c>
    </row>
    <row r="20" spans="1:14" ht="12.75">
      <c r="A20">
        <v>125</v>
      </c>
      <c r="B20">
        <v>28</v>
      </c>
      <c r="C20" s="17">
        <v>0.45</v>
      </c>
      <c r="D20" s="18">
        <v>18.6</v>
      </c>
      <c r="E20" s="17">
        <v>0.45</v>
      </c>
      <c r="F20" s="18">
        <v>18</v>
      </c>
      <c r="G20" s="17">
        <v>0.42</v>
      </c>
      <c r="H20" s="18">
        <v>16.6</v>
      </c>
      <c r="I20" s="17">
        <v>0.43</v>
      </c>
      <c r="J20" s="18">
        <v>16.4</v>
      </c>
      <c r="K20" s="17">
        <v>0.45</v>
      </c>
      <c r="L20" s="18">
        <v>15.4</v>
      </c>
      <c r="M20" s="17">
        <v>0.49</v>
      </c>
      <c r="N20" s="18">
        <v>14.1</v>
      </c>
    </row>
    <row r="21" spans="1:14" ht="12.75">
      <c r="A21">
        <v>140</v>
      </c>
      <c r="B21">
        <v>36</v>
      </c>
      <c r="C21" s="17">
        <v>0.58</v>
      </c>
      <c r="D21" s="18">
        <v>23.3</v>
      </c>
      <c r="E21" s="17">
        <v>0.55</v>
      </c>
      <c r="F21" s="18">
        <v>22.5</v>
      </c>
      <c r="G21" s="17">
        <v>0.57</v>
      </c>
      <c r="H21" s="18">
        <v>20.8</v>
      </c>
      <c r="I21" s="17">
        <v>0.55</v>
      </c>
      <c r="J21" s="18">
        <v>20.6</v>
      </c>
      <c r="K21" s="17">
        <v>0.57</v>
      </c>
      <c r="L21" s="18">
        <v>19.3</v>
      </c>
      <c r="M21" s="17">
        <v>0.57</v>
      </c>
      <c r="N21" s="18">
        <v>17.7</v>
      </c>
    </row>
    <row r="22" spans="1:14" ht="12.75">
      <c r="A22">
        <v>160</v>
      </c>
      <c r="B22">
        <v>55</v>
      </c>
      <c r="C22" s="17">
        <v>0.67</v>
      </c>
      <c r="D22" s="18">
        <v>30.5</v>
      </c>
      <c r="E22" s="17">
        <v>0.72</v>
      </c>
      <c r="F22" s="18">
        <v>29.4</v>
      </c>
      <c r="G22" s="17">
        <v>0.72</v>
      </c>
      <c r="H22" s="18">
        <v>27.2</v>
      </c>
      <c r="I22" s="17">
        <v>0.73</v>
      </c>
      <c r="J22" s="18">
        <v>26.9</v>
      </c>
      <c r="K22" s="17">
        <v>0.79</v>
      </c>
      <c r="L22" s="18">
        <v>25.1</v>
      </c>
      <c r="M22" s="17">
        <v>0.74</v>
      </c>
      <c r="N22" s="18">
        <v>23.1</v>
      </c>
    </row>
    <row r="23" spans="1:14" ht="12.75">
      <c r="A23">
        <v>160</v>
      </c>
      <c r="B23">
        <v>70</v>
      </c>
      <c r="C23" s="17">
        <v>0.67</v>
      </c>
      <c r="D23" s="18">
        <v>30.5</v>
      </c>
      <c r="E23" s="17">
        <v>0.72</v>
      </c>
      <c r="F23" s="18">
        <v>29.4</v>
      </c>
      <c r="G23" s="17">
        <v>0.72</v>
      </c>
      <c r="H23" s="18">
        <v>27.2</v>
      </c>
      <c r="I23" s="17">
        <v>0.73</v>
      </c>
      <c r="J23" s="18">
        <v>26.9</v>
      </c>
      <c r="K23" s="17">
        <v>0.79</v>
      </c>
      <c r="L23" s="18">
        <v>25.1</v>
      </c>
      <c r="M23" s="17">
        <v>0.74</v>
      </c>
      <c r="N23" s="18">
        <v>23.1</v>
      </c>
    </row>
    <row r="24" spans="1:14" ht="12.75">
      <c r="A24">
        <v>180</v>
      </c>
      <c r="B24">
        <v>66</v>
      </c>
      <c r="C24" s="17">
        <v>0.86</v>
      </c>
      <c r="D24" s="18">
        <v>38.6</v>
      </c>
      <c r="E24" s="17">
        <v>0.96</v>
      </c>
      <c r="F24" s="18">
        <v>37.3</v>
      </c>
      <c r="G24" s="17">
        <v>0.92</v>
      </c>
      <c r="H24" s="18">
        <v>34.4</v>
      </c>
      <c r="I24" s="17">
        <v>0.96</v>
      </c>
      <c r="J24" s="18">
        <v>34</v>
      </c>
      <c r="K24" s="17">
        <v>1.02</v>
      </c>
      <c r="L24" s="18">
        <v>31.8</v>
      </c>
      <c r="M24" s="17">
        <v>0.95</v>
      </c>
      <c r="N24" s="18">
        <v>29.3</v>
      </c>
    </row>
    <row r="25" spans="1:14" ht="12.75">
      <c r="A25">
        <v>200</v>
      </c>
      <c r="B25">
        <v>90</v>
      </c>
      <c r="C25" s="17">
        <v>1.22</v>
      </c>
      <c r="D25" s="18">
        <v>47.5</v>
      </c>
      <c r="E25" s="17">
        <v>1.2</v>
      </c>
      <c r="F25" s="18">
        <v>46</v>
      </c>
      <c r="G25" s="17">
        <v>1.17</v>
      </c>
      <c r="H25" s="18">
        <v>42.4</v>
      </c>
      <c r="I25" s="17">
        <v>1.23</v>
      </c>
      <c r="J25" s="18">
        <v>41.9</v>
      </c>
      <c r="K25" s="17">
        <v>1.19</v>
      </c>
      <c r="L25" s="18">
        <v>39.3</v>
      </c>
      <c r="M25" s="17">
        <v>1.17</v>
      </c>
      <c r="N25" s="18">
        <v>36.2</v>
      </c>
    </row>
    <row r="26" spans="1:14" ht="12.75">
      <c r="A26">
        <v>225</v>
      </c>
      <c r="B26">
        <v>106</v>
      </c>
      <c r="C26" s="17">
        <v>1.43</v>
      </c>
      <c r="D26" s="18">
        <v>60.3</v>
      </c>
      <c r="E26" s="17">
        <v>1.51</v>
      </c>
      <c r="F26" s="18">
        <v>58.3</v>
      </c>
      <c r="G26" s="17">
        <v>1.53</v>
      </c>
      <c r="H26" s="18">
        <v>53.7</v>
      </c>
      <c r="I26" s="17">
        <v>1.5</v>
      </c>
      <c r="J26" s="18">
        <v>53.1</v>
      </c>
      <c r="K26" s="17">
        <v>1.65</v>
      </c>
      <c r="L26" s="18">
        <v>49.7</v>
      </c>
      <c r="M26" s="17">
        <v>1.49</v>
      </c>
      <c r="N26" s="18">
        <v>45.7</v>
      </c>
    </row>
    <row r="27" spans="1:14" ht="12.75">
      <c r="A27">
        <v>250</v>
      </c>
      <c r="B27">
        <v>116</v>
      </c>
      <c r="C27" s="17">
        <v>1.72</v>
      </c>
      <c r="D27" s="18">
        <v>74.3</v>
      </c>
      <c r="E27" s="17">
        <v>1.89</v>
      </c>
      <c r="F27" s="18">
        <v>72</v>
      </c>
      <c r="G27" s="17">
        <v>1.8</v>
      </c>
      <c r="H27" s="18">
        <v>66.3</v>
      </c>
      <c r="I27" s="17">
        <v>1.83</v>
      </c>
      <c r="J27" s="18">
        <v>65.6</v>
      </c>
      <c r="K27" s="17">
        <v>1.92</v>
      </c>
      <c r="L27" s="18">
        <v>61.4</v>
      </c>
      <c r="M27" s="17">
        <v>1.96</v>
      </c>
      <c r="N27" s="18">
        <v>56.5</v>
      </c>
    </row>
    <row r="28" spans="1:14" ht="12.75">
      <c r="A28">
        <v>280</v>
      </c>
      <c r="B28">
        <v>149</v>
      </c>
      <c r="C28" s="17">
        <v>2.27</v>
      </c>
      <c r="D28" s="18">
        <v>93.3</v>
      </c>
      <c r="E28" s="17">
        <v>2.39</v>
      </c>
      <c r="F28" s="18">
        <v>90.3</v>
      </c>
      <c r="G28" s="17">
        <v>2.46</v>
      </c>
      <c r="H28" s="18">
        <v>83.2</v>
      </c>
      <c r="I28" s="17">
        <v>2.37</v>
      </c>
      <c r="J28" s="18">
        <v>82.3</v>
      </c>
      <c r="K28" s="17">
        <v>2.45</v>
      </c>
      <c r="L28" s="18">
        <v>77</v>
      </c>
      <c r="M28" s="17">
        <v>2.5</v>
      </c>
      <c r="N28" s="18">
        <v>71</v>
      </c>
    </row>
    <row r="29" spans="1:14" ht="12.75">
      <c r="A29">
        <v>315</v>
      </c>
      <c r="B29">
        <v>200</v>
      </c>
      <c r="C29" s="17">
        <v>2.67</v>
      </c>
      <c r="D29" s="18">
        <v>118</v>
      </c>
      <c r="E29" s="17">
        <v>3.03</v>
      </c>
      <c r="F29" s="18">
        <v>114</v>
      </c>
      <c r="G29" s="17">
        <v>3.02</v>
      </c>
      <c r="H29" s="18">
        <v>105</v>
      </c>
      <c r="I29" s="17">
        <v>3.71</v>
      </c>
      <c r="J29" s="18">
        <v>104</v>
      </c>
      <c r="K29" s="17">
        <v>3.12</v>
      </c>
      <c r="L29" s="18">
        <v>97.5</v>
      </c>
      <c r="M29" s="17">
        <v>3.06</v>
      </c>
      <c r="N29" s="18">
        <v>89.8</v>
      </c>
    </row>
    <row r="30" spans="1:14" ht="12.75">
      <c r="A30">
        <v>355</v>
      </c>
      <c r="B30">
        <v>256</v>
      </c>
      <c r="C30" s="17">
        <v>3.71</v>
      </c>
      <c r="D30" s="18">
        <v>150</v>
      </c>
      <c r="E30" s="17">
        <v>3.89</v>
      </c>
      <c r="F30" s="18">
        <v>145</v>
      </c>
      <c r="G30" s="17">
        <v>3.82</v>
      </c>
      <c r="H30" s="18">
        <v>134</v>
      </c>
      <c r="I30" s="17">
        <v>3.8</v>
      </c>
      <c r="J30" s="18">
        <v>132</v>
      </c>
      <c r="K30" s="17">
        <v>3.86</v>
      </c>
      <c r="L30" s="18">
        <v>124</v>
      </c>
      <c r="M30" s="17">
        <v>3.66</v>
      </c>
      <c r="N30" s="18">
        <v>114</v>
      </c>
    </row>
    <row r="31" spans="1:14" ht="12.75">
      <c r="A31">
        <v>400</v>
      </c>
      <c r="B31">
        <v>300</v>
      </c>
      <c r="C31" s="17">
        <v>4.17</v>
      </c>
      <c r="D31" s="18">
        <v>190</v>
      </c>
      <c r="E31" s="17">
        <v>4.36</v>
      </c>
      <c r="F31" s="18">
        <v>184</v>
      </c>
      <c r="G31" s="17">
        <v>3.87</v>
      </c>
      <c r="H31" s="18">
        <v>170</v>
      </c>
      <c r="I31" s="17">
        <v>3.89</v>
      </c>
      <c r="J31" s="18">
        <v>168</v>
      </c>
      <c r="K31" s="17">
        <v>3.73</v>
      </c>
      <c r="L31" s="18">
        <v>157</v>
      </c>
      <c r="M31" s="17">
        <v>3.3</v>
      </c>
      <c r="N31" s="18">
        <v>145</v>
      </c>
    </row>
    <row r="32" spans="1:14" ht="12.75">
      <c r="A32">
        <v>450</v>
      </c>
      <c r="B32">
        <v>400</v>
      </c>
      <c r="C32" s="17">
        <v>5.14</v>
      </c>
      <c r="D32" s="18">
        <v>241</v>
      </c>
      <c r="E32" s="17">
        <v>5.44</v>
      </c>
      <c r="F32" s="18">
        <v>233</v>
      </c>
      <c r="G32" s="17">
        <v>4.96</v>
      </c>
      <c r="H32" s="18">
        <v>215</v>
      </c>
      <c r="I32" s="17">
        <v>4.96</v>
      </c>
      <c r="J32" s="18">
        <v>212</v>
      </c>
      <c r="K32" s="17">
        <v>4.69</v>
      </c>
      <c r="L32" s="18">
        <v>199</v>
      </c>
      <c r="M32" s="17">
        <v>4.2</v>
      </c>
      <c r="N32" s="18">
        <v>183</v>
      </c>
    </row>
    <row r="33" spans="1:14" ht="12.75">
      <c r="A33">
        <v>500</v>
      </c>
      <c r="B33">
        <v>550</v>
      </c>
      <c r="C33" s="17">
        <v>6.55</v>
      </c>
      <c r="D33" s="18">
        <v>298</v>
      </c>
      <c r="E33" s="17">
        <v>6.65</v>
      </c>
      <c r="F33" s="18">
        <v>288</v>
      </c>
      <c r="G33" s="17">
        <v>6.1</v>
      </c>
      <c r="H33" s="18">
        <v>266</v>
      </c>
      <c r="I33" s="17">
        <v>6.35</v>
      </c>
      <c r="J33" s="18">
        <v>262</v>
      </c>
      <c r="K33" s="17">
        <v>5.95</v>
      </c>
      <c r="L33" s="18">
        <v>246</v>
      </c>
      <c r="M33" s="17">
        <v>5.24</v>
      </c>
      <c r="N33" s="18">
        <v>226</v>
      </c>
    </row>
    <row r="34" spans="1:14" ht="12.75">
      <c r="A34">
        <v>560</v>
      </c>
      <c r="B34">
        <v>700</v>
      </c>
      <c r="C34" s="17">
        <v>8.24</v>
      </c>
      <c r="D34" s="18">
        <v>373</v>
      </c>
      <c r="E34" s="17">
        <v>8.37</v>
      </c>
      <c r="F34" s="18">
        <v>361</v>
      </c>
      <c r="G34" s="17">
        <v>7.56</v>
      </c>
      <c r="H34" s="18">
        <v>333</v>
      </c>
      <c r="I34" s="17">
        <v>7.75</v>
      </c>
      <c r="J34" s="18">
        <v>329</v>
      </c>
      <c r="K34" s="17">
        <v>7.41</v>
      </c>
      <c r="L34" s="18">
        <v>308</v>
      </c>
      <c r="M34" s="17">
        <v>6.4</v>
      </c>
      <c r="N34" s="18">
        <v>284</v>
      </c>
    </row>
    <row r="35" spans="1:14" ht="12.75">
      <c r="A35">
        <v>600</v>
      </c>
      <c r="B35">
        <v>1160</v>
      </c>
      <c r="C35" s="17">
        <v>10.4</v>
      </c>
      <c r="D35" s="18">
        <v>428</v>
      </c>
      <c r="E35" s="17">
        <v>9.7</v>
      </c>
      <c r="F35" s="18">
        <v>414</v>
      </c>
      <c r="G35" s="17">
        <v>8.99</v>
      </c>
      <c r="H35" s="18">
        <v>382</v>
      </c>
      <c r="I35" s="17">
        <v>8.24</v>
      </c>
      <c r="J35" s="18">
        <v>378</v>
      </c>
      <c r="K35" s="17">
        <v>8.4</v>
      </c>
      <c r="L35" s="18">
        <v>354</v>
      </c>
      <c r="M35" s="17">
        <v>8.98</v>
      </c>
      <c r="N35" s="18">
        <v>325</v>
      </c>
    </row>
    <row r="36" spans="1:14" ht="12.75">
      <c r="A36">
        <v>630</v>
      </c>
      <c r="B36">
        <v>860</v>
      </c>
      <c r="C36" s="17">
        <v>10.5</v>
      </c>
      <c r="D36" s="18">
        <v>472</v>
      </c>
      <c r="E36" s="17">
        <v>10.8</v>
      </c>
      <c r="F36" s="18">
        <v>457</v>
      </c>
      <c r="G36" s="17">
        <v>9.9</v>
      </c>
      <c r="H36" s="18">
        <v>422</v>
      </c>
      <c r="I36" s="17">
        <v>8.24</v>
      </c>
      <c r="J36" s="18">
        <v>378</v>
      </c>
      <c r="K36" s="17">
        <v>9.28</v>
      </c>
      <c r="L36" s="18">
        <v>390</v>
      </c>
      <c r="M36" s="17">
        <v>8.98</v>
      </c>
      <c r="N36" s="18">
        <v>325</v>
      </c>
    </row>
    <row r="37" spans="1:14" ht="12.75">
      <c r="A37">
        <v>710</v>
      </c>
      <c r="B37">
        <v>1200</v>
      </c>
      <c r="C37" s="17">
        <v>13.5</v>
      </c>
      <c r="D37" s="18">
        <v>600</v>
      </c>
      <c r="E37" s="17">
        <v>13.8</v>
      </c>
      <c r="F37" s="18">
        <v>581</v>
      </c>
      <c r="G37" s="17">
        <v>12.5</v>
      </c>
      <c r="H37" s="18">
        <v>535</v>
      </c>
      <c r="I37" s="17">
        <v>12.4</v>
      </c>
      <c r="J37" s="18">
        <v>529</v>
      </c>
      <c r="K37" s="17">
        <v>12</v>
      </c>
      <c r="L37" s="18">
        <v>495</v>
      </c>
      <c r="M37" s="17">
        <v>11</v>
      </c>
      <c r="N37" s="18">
        <v>456</v>
      </c>
    </row>
    <row r="38" spans="1:14" ht="12.75">
      <c r="A38">
        <v>800</v>
      </c>
      <c r="B38">
        <v>1460</v>
      </c>
      <c r="C38" s="17">
        <v>17</v>
      </c>
      <c r="D38" s="18">
        <v>760</v>
      </c>
      <c r="E38" s="17">
        <v>17.6</v>
      </c>
      <c r="F38" s="18">
        <v>737</v>
      </c>
      <c r="G38" s="17">
        <v>15.4</v>
      </c>
      <c r="H38" s="18">
        <v>680</v>
      </c>
      <c r="I38" s="17">
        <v>16.6</v>
      </c>
      <c r="J38" s="18">
        <v>672</v>
      </c>
      <c r="K38" s="17">
        <v>15.1</v>
      </c>
      <c r="L38" s="18">
        <v>629</v>
      </c>
      <c r="M38" s="17">
        <v>14.2</v>
      </c>
      <c r="N38" s="18">
        <v>579</v>
      </c>
    </row>
    <row r="39" spans="1:14" ht="13.5" thickBot="1">
      <c r="A39">
        <v>900</v>
      </c>
      <c r="B39">
        <v>1850</v>
      </c>
      <c r="C39" s="19">
        <v>21.6</v>
      </c>
      <c r="D39" s="20">
        <v>964</v>
      </c>
      <c r="E39" s="19">
        <v>20.7</v>
      </c>
      <c r="F39" s="20">
        <v>933</v>
      </c>
      <c r="G39" s="19">
        <v>20.5</v>
      </c>
      <c r="H39" s="20">
        <v>860</v>
      </c>
      <c r="I39" s="19">
        <v>20.1</v>
      </c>
      <c r="J39" s="20">
        <v>850</v>
      </c>
      <c r="K39" s="19">
        <v>19.3</v>
      </c>
      <c r="L39" s="20">
        <v>796</v>
      </c>
      <c r="M39" s="19">
        <v>18.2</v>
      </c>
      <c r="N39" s="20">
        <v>733</v>
      </c>
    </row>
    <row r="40" ht="13.5" thickTop="1"/>
  </sheetData>
  <sheetProtection password="C5A6" sheet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18.421875" defaultRowHeight="12.75"/>
  <sheetData>
    <row r="1" ht="12.75">
      <c r="A1" s="49" t="s">
        <v>54</v>
      </c>
    </row>
    <row r="2" spans="1:2" ht="12.75">
      <c r="A2" s="49" t="s">
        <v>56</v>
      </c>
      <c r="B2" s="49" t="s">
        <v>55</v>
      </c>
    </row>
    <row r="3" spans="1:2" ht="12.75">
      <c r="A3" s="50">
        <v>41498</v>
      </c>
      <c r="B3" s="49" t="s">
        <v>57</v>
      </c>
    </row>
    <row r="4" spans="1:2" ht="12.75">
      <c r="A4" s="50">
        <v>41709</v>
      </c>
      <c r="B4" s="49" t="s">
        <v>62</v>
      </c>
    </row>
  </sheetData>
  <sheetProtection password="C5A6" sheet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Ronny Gilje</dc:creator>
  <cp:keywords/>
  <dc:description/>
  <cp:lastModifiedBy>Kenneth Fløysvik</cp:lastModifiedBy>
  <cp:lastPrinted>2015-11-20T11:54:53Z</cp:lastPrinted>
  <dcterms:created xsi:type="dcterms:W3CDTF">1997-01-16T18:32:43Z</dcterms:created>
  <dcterms:modified xsi:type="dcterms:W3CDTF">2017-01-23T14:24:00Z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