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8520" activeTab="2"/>
  </bookViews>
  <sheets>
    <sheet name="Forside" sheetId="7" r:id="rId1"/>
    <sheet name="Metode 2" sheetId="1" r:id="rId2"/>
    <sheet name="Metode 3" sheetId="3" r:id="rId3"/>
    <sheet name="Metode 4" sheetId="6" r:id="rId4"/>
    <sheet name="Tabeller" sheetId="2" r:id="rId5"/>
    <sheet name="Formler" sheetId="4" r:id="rId6"/>
    <sheet name="Timeforbruk" sheetId="5" r:id="rId7"/>
  </sheets>
  <definedNames>
    <definedName name="_xlnm.Print_Area" localSheetId="1">'Metode 2'!$B$1:$G$41</definedName>
    <definedName name="_xlnm.Print_Area" localSheetId="2">'Metode 3'!$B$1:$H$81</definedName>
    <definedName name="_xlnm.Print_Area" localSheetId="3">'Metode 4'!$B$1:$G$35</definedName>
    <definedName name="_xlnm.Print_Area" localSheetId="4">Tabeller!$A$1:$I$77</definedName>
  </definedNames>
  <calcPr calcId="144525"/>
</workbook>
</file>

<file path=xl/calcChain.xml><?xml version="1.0" encoding="utf-8"?>
<calcChain xmlns="http://schemas.openxmlformats.org/spreadsheetml/2006/main">
  <c r="C67" i="1" l="1"/>
  <c r="H69" i="3" l="1"/>
  <c r="H71" i="3"/>
  <c r="H67" i="3"/>
  <c r="F67" i="3"/>
  <c r="F73" i="3"/>
  <c r="F71" i="3"/>
  <c r="F2" i="5"/>
  <c r="B21" i="1" l="1"/>
  <c r="B20" i="1"/>
  <c r="B18" i="6"/>
  <c r="B17" i="6"/>
  <c r="F18" i="6"/>
  <c r="F17" i="6"/>
  <c r="F16" i="6"/>
  <c r="B16" i="6"/>
  <c r="F10" i="6"/>
  <c r="F8" i="6"/>
  <c r="D8" i="6"/>
  <c r="F7" i="6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I17" i="1"/>
  <c r="F21" i="1"/>
  <c r="F18" i="3"/>
  <c r="F20" i="1"/>
  <c r="F19" i="1"/>
  <c r="B19" i="1"/>
  <c r="F7" i="1"/>
  <c r="F8" i="1"/>
  <c r="F6" i="1"/>
  <c r="F12" i="6" l="1"/>
  <c r="F22" i="6" s="1"/>
  <c r="F16" i="3" l="1"/>
  <c r="I14" i="3"/>
  <c r="J14" i="3"/>
  <c r="I15" i="3"/>
  <c r="J15" i="3"/>
  <c r="I16" i="3"/>
  <c r="J16" i="3"/>
  <c r="I17" i="3"/>
  <c r="J17" i="3"/>
  <c r="I18" i="3"/>
  <c r="J18" i="3"/>
  <c r="I19" i="3"/>
  <c r="J19" i="3"/>
  <c r="J13" i="3"/>
  <c r="I13" i="3"/>
  <c r="I12" i="3"/>
  <c r="F14" i="3"/>
  <c r="F69" i="3" s="1"/>
  <c r="F13" i="3"/>
  <c r="E13" i="3"/>
  <c r="B14" i="3"/>
  <c r="F9" i="3"/>
  <c r="F12" i="3" s="1"/>
  <c r="F8" i="3"/>
  <c r="F14" i="1"/>
  <c r="F13" i="1"/>
  <c r="F12" i="1"/>
  <c r="F11" i="1"/>
  <c r="E13" i="1"/>
  <c r="E14" i="1"/>
  <c r="E12" i="1"/>
  <c r="D2" i="5"/>
  <c r="E11" i="1"/>
  <c r="F9" i="1"/>
  <c r="F10" i="1"/>
  <c r="E10" i="1"/>
  <c r="E9" i="1"/>
  <c r="B6" i="1"/>
  <c r="B7" i="1"/>
  <c r="E7" i="1" s="1"/>
  <c r="G7" i="1" s="1"/>
  <c r="B8" i="1"/>
  <c r="E8" i="1" s="1"/>
  <c r="G8" i="1" s="1"/>
  <c r="G10" i="1" l="1"/>
  <c r="G11" i="1"/>
  <c r="G9" i="1"/>
  <c r="G12" i="1"/>
  <c r="G13" i="1"/>
  <c r="G14" i="1"/>
  <c r="F19" i="3"/>
  <c r="F51" i="3" l="1"/>
  <c r="F49" i="3"/>
  <c r="F58" i="3" s="1"/>
  <c r="E6" i="1"/>
  <c r="G6" i="1" s="1"/>
  <c r="G15" i="1" l="1"/>
  <c r="F23" i="1" l="1"/>
  <c r="F29" i="1" l="1"/>
  <c r="F55" i="1"/>
  <c r="F53" i="1" s="1"/>
  <c r="F62" i="1" s="1"/>
</calcChain>
</file>

<file path=xl/sharedStrings.xml><?xml version="1.0" encoding="utf-8"?>
<sst xmlns="http://schemas.openxmlformats.org/spreadsheetml/2006/main" count="221" uniqueCount="172">
  <si>
    <t>&lt; 0,94</t>
  </si>
  <si>
    <t>&gt; 0,94</t>
  </si>
  <si>
    <t>Tetthet (g/cm3)</t>
  </si>
  <si>
    <t>Tetthetsfaktor (fd)</t>
  </si>
  <si>
    <t>Tabell 1</t>
  </si>
  <si>
    <t>Tabell 2</t>
  </si>
  <si>
    <t>Tetthet (egenvekt ) fett og oljer</t>
  </si>
  <si>
    <t>Produkt</t>
  </si>
  <si>
    <t xml:space="preserve">Animalsk fett </t>
  </si>
  <si>
    <t>0,85 -0,94</t>
  </si>
  <si>
    <t>Smørfett / olivenolje</t>
  </si>
  <si>
    <t>Kokosolje / maisolje</t>
  </si>
  <si>
    <t>0,92 - 0,93</t>
  </si>
  <si>
    <t>Fiskeolje</t>
  </si>
  <si>
    <t>0,89 - 0,94</t>
  </si>
  <si>
    <t>Palmeolje / rapsolje</t>
  </si>
  <si>
    <t>0,91 - 0,92</t>
  </si>
  <si>
    <t>Vegetabilsk olje</t>
  </si>
  <si>
    <t>0,95 - 0,97</t>
  </si>
  <si>
    <t>Tabell 3.</t>
  </si>
  <si>
    <t>Temperaturfaktor (ft)</t>
  </si>
  <si>
    <t>Temperatur på avløpsvann ved innløp</t>
  </si>
  <si>
    <t>Tabell 4</t>
  </si>
  <si>
    <t>Bruk av vaske-/rengjøringsmidler</t>
  </si>
  <si>
    <t>Anvendes aldri</t>
  </si>
  <si>
    <t>Anvendes iblandt eller alltid</t>
  </si>
  <si>
    <t>Ved større forbruk, eks. Sykehus</t>
  </si>
  <si>
    <t>Tabell 5</t>
  </si>
  <si>
    <t>Maks vannføring for resturant kjøkken med utstyr som beskrevet</t>
  </si>
  <si>
    <t>Utstyr</t>
  </si>
  <si>
    <t>Antall (stk)</t>
  </si>
  <si>
    <t>Vannforbruk (q) (l/s)</t>
  </si>
  <si>
    <t>Samtidighetsfaktor (zn)</t>
  </si>
  <si>
    <t>Sum (Qs) (l/s)</t>
  </si>
  <si>
    <t>Maks. Vannføring (Qs)</t>
  </si>
  <si>
    <t>ft</t>
  </si>
  <si>
    <t>fd</t>
  </si>
  <si>
    <t>fr</t>
  </si>
  <si>
    <t>l/s</t>
  </si>
  <si>
    <t>Type</t>
  </si>
  <si>
    <t>q</t>
  </si>
  <si>
    <t>Samtidighetsfaktor for antall enheter (Zg)</t>
  </si>
  <si>
    <t>Kjøkkenutstyr</t>
  </si>
  <si>
    <t>n=1</t>
  </si>
  <si>
    <t>n=2</t>
  </si>
  <si>
    <t>n&gt;5</t>
  </si>
  <si>
    <t>1.</t>
  </si>
  <si>
    <t>Kokegryte</t>
  </si>
  <si>
    <t>25 mm utløp</t>
  </si>
  <si>
    <t>50 mm utløp</t>
  </si>
  <si>
    <t xml:space="preserve">n=3 </t>
  </si>
  <si>
    <t>n=4</t>
  </si>
  <si>
    <t>2.</t>
  </si>
  <si>
    <t>Tippbar gryte</t>
  </si>
  <si>
    <t>70 mm utløp</t>
  </si>
  <si>
    <t>100 mm utløp</t>
  </si>
  <si>
    <t>3.</t>
  </si>
  <si>
    <t>Spylekasse/oppvaskbenk</t>
  </si>
  <si>
    <t>Utløp med vannlås ø 40mm</t>
  </si>
  <si>
    <t>Utløp med vannlås ø 50mm</t>
  </si>
  <si>
    <t>Utløp uten vannlås ø 40mm</t>
  </si>
  <si>
    <t>Utløp uten vannlås ø 50mm</t>
  </si>
  <si>
    <t>Stekebord</t>
  </si>
  <si>
    <t>Tippbart</t>
  </si>
  <si>
    <t>Fast</t>
  </si>
  <si>
    <t>Høytrykksvask/dampvask</t>
  </si>
  <si>
    <t>Skrape</t>
  </si>
  <si>
    <t>Grønnsakskyller</t>
  </si>
  <si>
    <t>Tappeventil for rengjøring</t>
  </si>
  <si>
    <t>DN 15 mm</t>
  </si>
  <si>
    <t>DN 20 mm</t>
  </si>
  <si>
    <t>DN 25 mm</t>
  </si>
  <si>
    <t>Oppvaskmaskin</t>
  </si>
  <si>
    <t>Tabell 6</t>
  </si>
  <si>
    <t>Type kjøkken</t>
  </si>
  <si>
    <t>F</t>
  </si>
  <si>
    <t>Vm (l)</t>
  </si>
  <si>
    <t>Hotell</t>
  </si>
  <si>
    <t>Resturant</t>
  </si>
  <si>
    <t>Sykehus</t>
  </si>
  <si>
    <t>Kantine</t>
  </si>
  <si>
    <t>Catering m/heldagsproduksjon</t>
  </si>
  <si>
    <t>Tabell 7</t>
  </si>
  <si>
    <t>Maks vannføringsfaktor (F) og vannforbruk pr. Produsert varmrett (Vm) for storkjøkken (Ref: NS-EN 1825-2)</t>
  </si>
  <si>
    <t>Vannføringsfaktor (F) og vannforbruk (Vp) for kjøttprodukanlegg og slakterier</t>
  </si>
  <si>
    <t>Verdier for maks. Vannforbruk (q) og samtidighetsfaktor (Zn) for typisk tilbehør/utstyr</t>
  </si>
  <si>
    <t>Produksjonsmengde</t>
  </si>
  <si>
    <t>Liten, maks 5 GV pr. Uke</t>
  </si>
  <si>
    <t>Middels, 6 til 10 GV pr.uke</t>
  </si>
  <si>
    <t>Stor, 11 til 40 GV pr. Uke</t>
  </si>
  <si>
    <t>Vannføringsfaktor (F)</t>
  </si>
  <si>
    <t>Vannforbruk pr. Kg. kjøttprodukt (Vp) [liter]</t>
  </si>
  <si>
    <t>Metode 3:</t>
  </si>
  <si>
    <t>Metode 4:</t>
  </si>
  <si>
    <t>Dimensjonering av nominell størrelse</t>
  </si>
  <si>
    <t xml:space="preserve">Metode 2 </t>
  </si>
  <si>
    <t>Høytrykksvask/  dampvask</t>
  </si>
  <si>
    <t>Type (velg)</t>
  </si>
  <si>
    <r>
      <t>=</t>
    </r>
    <r>
      <rPr>
        <u/>
        <sz val="14"/>
        <color rgb="FF5BB8E9"/>
        <rFont val="Courier New"/>
        <family val="3"/>
      </rPr>
      <t>IF</t>
    </r>
    <r>
      <rPr>
        <sz val="14"/>
        <color rgb="FFEEEEEE"/>
        <rFont val="Courier New"/>
        <family val="3"/>
      </rPr>
      <t>(</t>
    </r>
    <r>
      <rPr>
        <u/>
        <sz val="14"/>
        <color rgb="FF5BB8E9"/>
        <rFont val="Courier New"/>
        <family val="3"/>
      </rPr>
      <t>AND</t>
    </r>
    <r>
      <rPr>
        <sz val="14"/>
        <color rgb="FFEEEEEE"/>
        <rFont val="Courier New"/>
        <family val="3"/>
      </rPr>
      <t>(A1</t>
    </r>
    <r>
      <rPr>
        <sz val="14"/>
        <color rgb="FFFBDE2D"/>
        <rFont val="Courier New"/>
        <family val="3"/>
      </rPr>
      <t>=</t>
    </r>
    <r>
      <rPr>
        <sz val="14"/>
        <color rgb="FFEEEEEE"/>
        <rFont val="Courier New"/>
        <family val="3"/>
      </rPr>
      <t>"this",B1</t>
    </r>
    <r>
      <rPr>
        <sz val="14"/>
        <color rgb="FFFBDE2D"/>
        <rFont val="Courier New"/>
        <family val="3"/>
      </rPr>
      <t>=</t>
    </r>
    <r>
      <rPr>
        <sz val="14"/>
        <color rgb="FFEEEEEE"/>
        <rFont val="Courier New"/>
        <family val="3"/>
      </rPr>
      <t>"that"),"x","")</t>
    </r>
  </si>
  <si>
    <t>Formelsamling</t>
  </si>
  <si>
    <r>
      <t>=</t>
    </r>
    <r>
      <rPr>
        <u/>
        <sz val="14"/>
        <color rgb="FF5BB8E9"/>
        <rFont val="Courier New"/>
        <family val="3"/>
      </rPr>
      <t>IF</t>
    </r>
    <r>
      <rPr>
        <sz val="14"/>
        <color rgb="FFEEEEEE"/>
        <rFont val="Courier New"/>
        <family val="3"/>
      </rPr>
      <t>(</t>
    </r>
    <r>
      <rPr>
        <u/>
        <sz val="14"/>
        <color rgb="FF5BB8E9"/>
        <rFont val="Courier New"/>
        <family val="3"/>
      </rPr>
      <t>OR</t>
    </r>
    <r>
      <rPr>
        <sz val="14"/>
        <color rgb="FFEEEEEE"/>
        <rFont val="Courier New"/>
        <family val="3"/>
      </rPr>
      <t>(A1</t>
    </r>
    <r>
      <rPr>
        <sz val="14"/>
        <color rgb="FFFBDE2D"/>
        <rFont val="Courier New"/>
        <family val="3"/>
      </rPr>
      <t>&gt;</t>
    </r>
    <r>
      <rPr>
        <sz val="14"/>
        <color rgb="FFEEEEEE"/>
        <rFont val="Courier New"/>
        <family val="3"/>
      </rPr>
      <t>75,B1</t>
    </r>
    <r>
      <rPr>
        <sz val="14"/>
        <color rgb="FFFBDE2D"/>
        <rFont val="Courier New"/>
        <family val="3"/>
      </rPr>
      <t>&gt;</t>
    </r>
    <r>
      <rPr>
        <sz val="14"/>
        <color rgb="FFEEEEEE"/>
        <rFont val="Courier New"/>
        <family val="3"/>
      </rPr>
      <t>75), "Pass", "Fail")</t>
    </r>
  </si>
  <si>
    <t>På hytta</t>
  </si>
  <si>
    <t>timer</t>
  </si>
  <si>
    <t>Hjemme</t>
  </si>
  <si>
    <t>Totalt</t>
  </si>
  <si>
    <t>Nominell størrelse (NS) = Qs x fd x ft x fr</t>
  </si>
  <si>
    <t xml:space="preserve">Hvis slamfang benyttes er minste anbefalte volum 100 x NS </t>
  </si>
  <si>
    <t>Slamfang:</t>
  </si>
  <si>
    <t>Metode 3</t>
  </si>
  <si>
    <t>Type kjøkken:</t>
  </si>
  <si>
    <t>Vannføringskoeffisient:</t>
  </si>
  <si>
    <t>Vm</t>
  </si>
  <si>
    <t>T</t>
  </si>
  <si>
    <t>Volum vann brukt pr. Måltid:</t>
  </si>
  <si>
    <t>M</t>
  </si>
  <si>
    <t>Qs = M *Vm*F/T*3600</t>
  </si>
  <si>
    <t>NS=Qs*Fd*Ft*Fr</t>
  </si>
  <si>
    <t>Fd</t>
  </si>
  <si>
    <t>Fr</t>
  </si>
  <si>
    <t>Ft</t>
  </si>
  <si>
    <r>
      <t>Temperaturfaktor (f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)</t>
    </r>
  </si>
  <si>
    <r>
      <t>Korreksjonsfaktor vaske-/rengjøringmiddel (f</t>
    </r>
    <r>
      <rPr>
        <b/>
        <vertAlign val="subscript"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)</t>
    </r>
  </si>
  <si>
    <r>
      <t>Korreksjonsfaktor  (f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</si>
  <si>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t>Tetthetsfaktor for fett (fd)</t>
  </si>
  <si>
    <t>Alltid eller iblandt &gt; 60 gr.</t>
  </si>
  <si>
    <t>&lt; 60 gr.</t>
  </si>
  <si>
    <t>Korreksjonsfaktor</t>
  </si>
  <si>
    <t>????</t>
  </si>
  <si>
    <t>Mp</t>
  </si>
  <si>
    <t xml:space="preserve">Produksjonsmengde:             </t>
  </si>
  <si>
    <t>1 GV = 1 ku eller 2,5 griser</t>
  </si>
  <si>
    <t>1 GV = 100 kg</t>
  </si>
  <si>
    <t>Maks vannføring Qs = Vp*Mp*F/3600 *T</t>
  </si>
  <si>
    <t>Qs=</t>
  </si>
  <si>
    <t>Beregnet størrelse (NS) på fettutskiller:  Qs * fd * ft * fr</t>
  </si>
  <si>
    <t>NS=</t>
  </si>
  <si>
    <t>F og Vp</t>
  </si>
  <si>
    <t>Pr. Kjøkkenutstyr og tappekraner for fettutskiller etter NS-EN-1825-2</t>
  </si>
  <si>
    <t xml:space="preserve">Metode 4: </t>
  </si>
  <si>
    <t>Antall Mp:</t>
  </si>
  <si>
    <t>Timer produksjon:</t>
  </si>
  <si>
    <t>Antall GV pr. Uke: (Angis)</t>
  </si>
  <si>
    <t>Velg:</t>
  </si>
  <si>
    <t xml:space="preserve">   Kjøttbearbeidende industri</t>
  </si>
  <si>
    <t xml:space="preserve">   Pr. måltid for fettutskiller etter NS-EN-1825-2</t>
  </si>
  <si>
    <t>Maks vannføring Qs:</t>
  </si>
  <si>
    <t>Utregnet Nominell størrelse (NS):</t>
  </si>
  <si>
    <t>Beregnet etter følgende formler i henhold til NS-EN 1825-2:</t>
  </si>
  <si>
    <t>Angi antall måltider pr. dag:</t>
  </si>
  <si>
    <t>Angi driftstid på kjøkken pr. Dag:</t>
  </si>
  <si>
    <t>Vaskemidler tidvis eller altid brukt (fr)</t>
  </si>
  <si>
    <t>Vanntemperatur over eller under 60gr (ft)</t>
  </si>
  <si>
    <t>Anbefalt størrelse:</t>
  </si>
  <si>
    <t>Utskrift:</t>
  </si>
  <si>
    <t>Prosjekt:</t>
  </si>
  <si>
    <t>Konsulent:</t>
  </si>
  <si>
    <t>Merknader:</t>
  </si>
  <si>
    <t>Fettutskillerens nominelle størrelse (NS)</t>
  </si>
  <si>
    <t>Nominell størrelse (NS) ikke avrundet:</t>
  </si>
  <si>
    <t>Velg type ØR fettavskiller</t>
  </si>
  <si>
    <t>Våtvolum i liter</t>
  </si>
  <si>
    <t>Det er krav til sandfang i noen kommuner</t>
  </si>
  <si>
    <t>Slamfangstørrelse i liter (100 x NS)</t>
  </si>
  <si>
    <t>????????</t>
  </si>
  <si>
    <t>Inndata:</t>
  </si>
  <si>
    <t>Måltid:</t>
  </si>
  <si>
    <t>Forsterkningsfaktorer:</t>
  </si>
  <si>
    <t>Konsentrasjoner:</t>
  </si>
  <si>
    <t>Innløp temperatur</t>
  </si>
  <si>
    <t>Vaskemidler:</t>
  </si>
  <si>
    <t>Driftstid:</t>
  </si>
  <si>
    <t>Driftstid på kjøkkenet pr. dag: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</si>
</sst>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EEEEEE"/>
      <name val="Courier New"/>
      <family val="3"/>
    </font>
    <font>
      <sz val="14"/>
      <color rgb="FFFBDE2D"/>
      <name val="Courier New"/>
      <family val="3"/>
    </font>
    <font>
      <u/>
      <sz val="14"/>
      <color rgb="FF5BB8E9"/>
      <name val="Courier New"/>
      <family val="3"/>
    </font>
    <font>
      <b/>
      <sz val="14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0" fillId="0" borderId="1" xfId="0" applyBorder="1"/>
    <xf numFmtId="2" fontId="0" fillId="0" borderId="1" xfId="0" applyNumberFormat="1" applyBorder="1"/>
    <xf numFmtId="2" fontId="0" fillId="2" borderId="1" xfId="0" applyNumberFormat="1" applyFill="1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3" xfId="0" applyBorder="1" applyAlignment="1">
      <alignment horizontal="center"/>
    </xf>
    <xf numFmtId="0" fontId="0" fillId="0" borderId="12" xfId="0" applyBorder="1"/>
    <xf numFmtId="0" fontId="0" fillId="2" borderId="13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4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4" borderId="0" xfId="0" applyFill="1" applyBorder="1"/>
    <xf numFmtId="0" fontId="1" fillId="4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12" xfId="0" applyFill="1" applyBorder="1"/>
    <xf numFmtId="0" fontId="0" fillId="2" borderId="1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12" xfId="0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3" fillId="3" borderId="0" xfId="0" applyFont="1" applyFill="1" applyAlignment="1">
      <alignment vertical="center"/>
    </xf>
    <xf numFmtId="0" fontId="0" fillId="3" borderId="0" xfId="0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2" borderId="3" xfId="0" applyFill="1" applyBorder="1"/>
    <xf numFmtId="0" fontId="1" fillId="2" borderId="2" xfId="0" applyFont="1" applyFill="1" applyBorder="1"/>
    <xf numFmtId="0" fontId="1" fillId="2" borderId="12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0" borderId="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wrapText="1"/>
    </xf>
    <xf numFmtId="0" fontId="1" fillId="0" borderId="12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2" borderId="12" xfId="0" applyFont="1" applyFill="1" applyBorder="1" applyAlignment="1">
      <alignment horizontal="center"/>
    </xf>
    <xf numFmtId="0" fontId="8" fillId="0" borderId="0" xfId="0" applyFont="1" applyFill="1"/>
    <xf numFmtId="0" fontId="5" fillId="6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2" fontId="0" fillId="0" borderId="0" xfId="0" applyNumberFormat="1" applyFill="1" applyBorder="1"/>
    <xf numFmtId="0" fontId="1" fillId="0" borderId="2" xfId="0" applyFont="1" applyFill="1" applyBorder="1" applyAlignment="1">
      <alignment horizontal="left"/>
    </xf>
    <xf numFmtId="0" fontId="0" fillId="0" borderId="0" xfId="0" applyAlignment="1"/>
    <xf numFmtId="0" fontId="1" fillId="2" borderId="2" xfId="0" applyFont="1" applyFill="1" applyBorder="1" applyAlignment="1"/>
    <xf numFmtId="0" fontId="0" fillId="0" borderId="2" xfId="0" applyBorder="1" applyAlignment="1"/>
    <xf numFmtId="0" fontId="0" fillId="0" borderId="10" xfId="0" applyFill="1" applyBorder="1" applyAlignment="1">
      <alignment horizontal="center" wrapText="1"/>
    </xf>
    <xf numFmtId="0" fontId="5" fillId="6" borderId="3" xfId="0" applyFont="1" applyFill="1" applyBorder="1" applyAlignment="1"/>
    <xf numFmtId="0" fontId="5" fillId="6" borderId="2" xfId="0" applyFont="1" applyFill="1" applyBorder="1" applyAlignment="1"/>
    <xf numFmtId="0" fontId="1" fillId="8" borderId="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/>
    <xf numFmtId="0" fontId="1" fillId="0" borderId="11" xfId="0" applyFont="1" applyFill="1" applyBorder="1" applyAlignment="1">
      <alignment horizontal="left"/>
    </xf>
    <xf numFmtId="0" fontId="1" fillId="0" borderId="2" xfId="0" applyFont="1" applyBorder="1" applyAlignment="1"/>
    <xf numFmtId="0" fontId="1" fillId="0" borderId="12" xfId="0" applyFont="1" applyBorder="1" applyAlignment="1"/>
    <xf numFmtId="0" fontId="5" fillId="0" borderId="2" xfId="0" applyFont="1" applyBorder="1"/>
    <xf numFmtId="0" fontId="0" fillId="0" borderId="12" xfId="0" applyFill="1" applyBorder="1" applyAlignment="1">
      <alignment horizontal="center" wrapText="1"/>
    </xf>
    <xf numFmtId="0" fontId="1" fillId="10" borderId="2" xfId="0" applyFont="1" applyFill="1" applyBorder="1"/>
    <xf numFmtId="0" fontId="0" fillId="10" borderId="12" xfId="0" applyFill="1" applyBorder="1"/>
    <xf numFmtId="0" fontId="0" fillId="10" borderId="3" xfId="0" applyFill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0" xfId="0" applyFont="1" applyBorder="1"/>
    <xf numFmtId="0" fontId="0" fillId="0" borderId="10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/>
    </xf>
    <xf numFmtId="2" fontId="1" fillId="7" borderId="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11" borderId="2" xfId="0" applyNumberFormat="1" applyFont="1" applyFill="1" applyBorder="1" applyAlignment="1">
      <alignment horizontal="center"/>
    </xf>
    <xf numFmtId="2" fontId="1" fillId="11" borderId="3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left" wrapText="1"/>
    </xf>
    <xf numFmtId="0" fontId="1" fillId="8" borderId="3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2" fontId="1" fillId="12" borderId="2" xfId="0" applyNumberFormat="1" applyFont="1" applyFill="1" applyBorder="1" applyAlignment="1">
      <alignment horizontal="center"/>
    </xf>
    <xf numFmtId="2" fontId="1" fillId="12" borderId="3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2" xfId="0" applyNumberFormat="1" applyFont="1" applyFill="1" applyBorder="1" applyAlignment="1">
      <alignment horizontal="center"/>
    </xf>
    <xf numFmtId="2" fontId="1" fillId="9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31</xdr:row>
      <xdr:rowOff>62738</xdr:rowOff>
    </xdr:from>
    <xdr:to>
      <xdr:col>6</xdr:col>
      <xdr:colOff>514350</xdr:colOff>
      <xdr:row>34</xdr:row>
      <xdr:rowOff>152400</xdr:rowOff>
    </xdr:to>
    <xdr:pic>
      <xdr:nvPicPr>
        <xdr:cNvPr id="2" name="Picture 1" descr="Ãstraadt RÃ¸r A/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8254238"/>
          <a:ext cx="5219700" cy="661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40</xdr:row>
      <xdr:rowOff>0</xdr:rowOff>
    </xdr:from>
    <xdr:to>
      <xdr:col>5</xdr:col>
      <xdr:colOff>657225</xdr:colOff>
      <xdr:row>43</xdr:row>
      <xdr:rowOff>9525</xdr:rowOff>
    </xdr:to>
    <xdr:sp macro="" textlink="">
      <xdr:nvSpPr>
        <xdr:cNvPr id="3" name="TextBox 2"/>
        <xdr:cNvSpPr txBox="1"/>
      </xdr:nvSpPr>
      <xdr:spPr>
        <a:xfrm>
          <a:off x="657225" y="9820275"/>
          <a:ext cx="462915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="1"/>
        </a:p>
      </xdr:txBody>
    </xdr:sp>
    <xdr:clientData/>
  </xdr:twoCellAnchor>
  <xdr:twoCellAnchor>
    <xdr:from>
      <xdr:col>1</xdr:col>
      <xdr:colOff>66675</xdr:colOff>
      <xdr:row>48</xdr:row>
      <xdr:rowOff>0</xdr:rowOff>
    </xdr:from>
    <xdr:to>
      <xdr:col>6</xdr:col>
      <xdr:colOff>0</xdr:colOff>
      <xdr:row>51</xdr:row>
      <xdr:rowOff>142875</xdr:rowOff>
    </xdr:to>
    <xdr:sp macro="" textlink="">
      <xdr:nvSpPr>
        <xdr:cNvPr id="4" name="TextBox 3"/>
        <xdr:cNvSpPr txBox="1"/>
      </xdr:nvSpPr>
      <xdr:spPr>
        <a:xfrm>
          <a:off x="676275" y="11449050"/>
          <a:ext cx="462915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="1"/>
        </a:p>
      </xdr:txBody>
    </xdr:sp>
    <xdr:clientData/>
  </xdr:twoCellAnchor>
  <xdr:twoCellAnchor>
    <xdr:from>
      <xdr:col>1</xdr:col>
      <xdr:colOff>66675</xdr:colOff>
      <xdr:row>44</xdr:row>
      <xdr:rowOff>0</xdr:rowOff>
    </xdr:from>
    <xdr:to>
      <xdr:col>6</xdr:col>
      <xdr:colOff>0</xdr:colOff>
      <xdr:row>47</xdr:row>
      <xdr:rowOff>9525</xdr:rowOff>
    </xdr:to>
    <xdr:sp macro="" textlink="">
      <xdr:nvSpPr>
        <xdr:cNvPr id="5" name="TextBox 4"/>
        <xdr:cNvSpPr txBox="1"/>
      </xdr:nvSpPr>
      <xdr:spPr>
        <a:xfrm>
          <a:off x="676275" y="10582275"/>
          <a:ext cx="462915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15185</xdr:rowOff>
    </xdr:from>
    <xdr:to>
      <xdr:col>6</xdr:col>
      <xdr:colOff>219075</xdr:colOff>
      <xdr:row>28</xdr:row>
      <xdr:rowOff>152399</xdr:rowOff>
    </xdr:to>
    <xdr:pic>
      <xdr:nvPicPr>
        <xdr:cNvPr id="3" name="Picture 2" descr="Ãstraadt RÃ¸r A/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587435"/>
          <a:ext cx="5334000" cy="708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36</xdr:row>
      <xdr:rowOff>57149</xdr:rowOff>
    </xdr:from>
    <xdr:to>
      <xdr:col>5</xdr:col>
      <xdr:colOff>561975</xdr:colOff>
      <xdr:row>39</xdr:row>
      <xdr:rowOff>9524</xdr:rowOff>
    </xdr:to>
    <xdr:sp macro="" textlink="">
      <xdr:nvSpPr>
        <xdr:cNvPr id="4" name="TextBox 3"/>
        <xdr:cNvSpPr txBox="1"/>
      </xdr:nvSpPr>
      <xdr:spPr>
        <a:xfrm>
          <a:off x="647700" y="8877299"/>
          <a:ext cx="5029200" cy="63817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="1"/>
        </a:p>
      </xdr:txBody>
    </xdr:sp>
    <xdr:clientData/>
  </xdr:twoCellAnchor>
  <xdr:twoCellAnchor>
    <xdr:from>
      <xdr:col>1</xdr:col>
      <xdr:colOff>66675</xdr:colOff>
      <xdr:row>44</xdr:row>
      <xdr:rowOff>0</xdr:rowOff>
    </xdr:from>
    <xdr:to>
      <xdr:col>6</xdr:col>
      <xdr:colOff>0</xdr:colOff>
      <xdr:row>47</xdr:row>
      <xdr:rowOff>142875</xdr:rowOff>
    </xdr:to>
    <xdr:sp macro="" textlink="">
      <xdr:nvSpPr>
        <xdr:cNvPr id="5" name="TextBox 4"/>
        <xdr:cNvSpPr txBox="1"/>
      </xdr:nvSpPr>
      <xdr:spPr>
        <a:xfrm>
          <a:off x="676275" y="11449050"/>
          <a:ext cx="462915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="1"/>
        </a:p>
      </xdr:txBody>
    </xdr:sp>
    <xdr:clientData/>
  </xdr:twoCellAnchor>
  <xdr:twoCellAnchor>
    <xdr:from>
      <xdr:col>1</xdr:col>
      <xdr:colOff>66675</xdr:colOff>
      <xdr:row>40</xdr:row>
      <xdr:rowOff>0</xdr:rowOff>
    </xdr:from>
    <xdr:to>
      <xdr:col>6</xdr:col>
      <xdr:colOff>0</xdr:colOff>
      <xdr:row>43</xdr:row>
      <xdr:rowOff>9525</xdr:rowOff>
    </xdr:to>
    <xdr:sp macro="" textlink="">
      <xdr:nvSpPr>
        <xdr:cNvPr id="6" name="TextBox 5"/>
        <xdr:cNvSpPr txBox="1"/>
      </xdr:nvSpPr>
      <xdr:spPr>
        <a:xfrm>
          <a:off x="676275" y="10582275"/>
          <a:ext cx="462915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="1"/>
        </a:p>
      </xdr:txBody>
    </xdr:sp>
    <xdr:clientData/>
  </xdr:twoCellAnchor>
  <xdr:twoCellAnchor editAs="oneCell">
    <xdr:from>
      <xdr:col>2</xdr:col>
      <xdr:colOff>219075</xdr:colOff>
      <xdr:row>75</xdr:row>
      <xdr:rowOff>19050</xdr:rowOff>
    </xdr:from>
    <xdr:to>
      <xdr:col>7</xdr:col>
      <xdr:colOff>438150</xdr:colOff>
      <xdr:row>78</xdr:row>
      <xdr:rowOff>156264</xdr:rowOff>
    </xdr:to>
    <xdr:pic>
      <xdr:nvPicPr>
        <xdr:cNvPr id="7" name="Picture 6" descr="Ãstraadt RÃ¸r A/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6268700"/>
          <a:ext cx="5334000" cy="708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266700</xdr:colOff>
      <xdr:row>38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59912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28</xdr:row>
      <xdr:rowOff>161925</xdr:rowOff>
    </xdr:from>
    <xdr:to>
      <xdr:col>6</xdr:col>
      <xdr:colOff>276225</xdr:colOff>
      <xdr:row>32</xdr:row>
      <xdr:rowOff>100340</xdr:rowOff>
    </xdr:to>
    <xdr:pic>
      <xdr:nvPicPr>
        <xdr:cNvPr id="2" name="Picture 1" descr="Ãstraadt RÃ¸r A/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4" y="7162800"/>
          <a:ext cx="5457826" cy="700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69"/>
  <sheetViews>
    <sheetView topLeftCell="A52" workbookViewId="0">
      <selection activeCell="B69" sqref="B69"/>
    </sheetView>
  </sheetViews>
  <sheetFormatPr defaultRowHeight="15" x14ac:dyDescent="0.25"/>
  <cols>
    <col min="2" max="2" width="17.42578125" customWidth="1"/>
    <col min="3" max="3" width="13.85546875" customWidth="1"/>
    <col min="4" max="4" width="13" customWidth="1"/>
    <col min="5" max="5" width="16" customWidth="1"/>
    <col min="6" max="6" width="10.140625" customWidth="1"/>
    <col min="9" max="9" width="21.42578125" customWidth="1"/>
    <col min="10" max="10" width="15.5703125" customWidth="1"/>
  </cols>
  <sheetData>
    <row r="2" spans="2:19" ht="23.25" customHeight="1" x14ac:dyDescent="0.3">
      <c r="B2" s="77" t="s">
        <v>95</v>
      </c>
      <c r="C2" s="61" t="s">
        <v>137</v>
      </c>
      <c r="D2" s="15"/>
      <c r="E2" s="15"/>
      <c r="F2" s="15"/>
      <c r="G2" s="9"/>
    </row>
    <row r="4" spans="2:19" ht="20.25" customHeight="1" x14ac:dyDescent="0.25">
      <c r="B4" s="114" t="s">
        <v>28</v>
      </c>
      <c r="C4" s="115"/>
      <c r="D4" s="115"/>
      <c r="E4" s="115"/>
      <c r="F4" s="115"/>
      <c r="G4" s="116"/>
    </row>
    <row r="5" spans="2:19" ht="45" x14ac:dyDescent="0.25">
      <c r="B5" s="32" t="s">
        <v>29</v>
      </c>
      <c r="C5" s="32" t="s">
        <v>97</v>
      </c>
      <c r="D5" s="54" t="s">
        <v>30</v>
      </c>
      <c r="E5" s="54" t="s">
        <v>31</v>
      </c>
      <c r="F5" s="54" t="s">
        <v>32</v>
      </c>
      <c r="G5" s="54" t="s">
        <v>33</v>
      </c>
    </row>
    <row r="6" spans="2:19" ht="20.25" customHeight="1" x14ac:dyDescent="0.3">
      <c r="B6" s="23" t="str">
        <f>Tabeller!C35</f>
        <v>Kokegryte</v>
      </c>
      <c r="C6" s="23" t="s">
        <v>48</v>
      </c>
      <c r="D6" s="48">
        <v>2</v>
      </c>
      <c r="E6" s="6">
        <f>IF(AND(B6=Tabeller!C35,C6=Tabeller!C36),Tabeller!D36,Tabeller!D37)</f>
        <v>1</v>
      </c>
      <c r="F6" s="7">
        <f>IF(OR(D6=0,D6=""),"",IF(D6=1,Tabeller!E35,IF(D6=2,Tabeller!F35,IF(D6=3,Tabeller!G35,IF(D6=4,Tabeller!H35,Tabeller!I35)))))</f>
        <v>0.31</v>
      </c>
      <c r="G6" s="7">
        <f t="shared" ref="G6:G14" si="0">IF(OR(D6=0,D6=""),"",E6*F6*D6)</f>
        <v>0.62</v>
      </c>
      <c r="N6" s="76"/>
      <c r="O6" s="76"/>
      <c r="P6" s="76"/>
      <c r="Q6" s="76"/>
      <c r="R6" s="76"/>
      <c r="S6" s="76"/>
    </row>
    <row r="7" spans="2:19" ht="21.75" customHeight="1" x14ac:dyDescent="0.25">
      <c r="B7" s="5" t="str">
        <f>Tabeller!C38</f>
        <v>Tippbar gryte</v>
      </c>
      <c r="C7" s="5" t="s">
        <v>55</v>
      </c>
      <c r="D7" s="48">
        <v>1</v>
      </c>
      <c r="E7" s="6">
        <f>IF(AND(B7=Tabeller!C38,C7=Tabeller!C39),Tabeller!D39,Tabeller!D40)</f>
        <v>3</v>
      </c>
      <c r="F7" s="7">
        <f>IF(OR(D7=0,D7=""),"",IF(D7=1,Tabeller!E38,IF(D7=2,Tabeller!F38,IF(D7=3,Tabeller!G38,IF(D7=4,Tabeller!H38,Tabeller!I38)))))</f>
        <v>0.45</v>
      </c>
      <c r="G7" s="7">
        <f t="shared" si="0"/>
        <v>1.35</v>
      </c>
    </row>
    <row r="8" spans="2:19" ht="48" customHeight="1" x14ac:dyDescent="0.25">
      <c r="B8" s="5" t="str">
        <f>Tabeller!C41</f>
        <v>Spylekasse/oppvaskbenk</v>
      </c>
      <c r="C8" s="5" t="s">
        <v>58</v>
      </c>
      <c r="D8" s="48">
        <v>2</v>
      </c>
      <c r="E8">
        <f>IF(AND(B8=Tabeller!C41,C8=Tabeller!C42),Tabeller!D42,IF(AND(B8=Tabeller!C41,C8=Tabeller!C43),Tabeller!D43,IF(AND(B8=Tabeller!C41,C8=Tabeller!C44),Tabeller!D44,Tabeller!D45)))</f>
        <v>0.8</v>
      </c>
      <c r="F8" s="7">
        <f>IF(OR(D8=0,D8=""),"",IF(D8=1,Tabeller!E41,IF(D8=2,Tabeller!F41,IF(D8=3,Tabeller!G41,IF(D8=4,Tabeller!H41,Tabeller!I41)))))</f>
        <v>0.31</v>
      </c>
      <c r="G8" s="7">
        <f t="shared" si="0"/>
        <v>0.496</v>
      </c>
    </row>
    <row r="9" spans="2:19" ht="24" customHeight="1" x14ac:dyDescent="0.25">
      <c r="B9" s="5" t="s">
        <v>62</v>
      </c>
      <c r="C9" s="5" t="s">
        <v>64</v>
      </c>
      <c r="D9" s="48">
        <v>3</v>
      </c>
      <c r="E9" s="6">
        <f>IF(AND(B9=Tabeller!C46,C9=Tabeller!C47),Tabeller!D47,Tabeller!D48)</f>
        <v>0.1</v>
      </c>
      <c r="F9" s="7">
        <f>IF(OR(D9=0,D9=""),"",IF(D9=1,Tabeller!E46,IF(D9=2,Tabeller!F46,IF(D9=3,Tabeller!G46,IF(D9=4,Tabeller!H46,Tabeller!I46)))))</f>
        <v>0.25</v>
      </c>
      <c r="G9" s="7">
        <f t="shared" si="0"/>
        <v>7.5000000000000011E-2</v>
      </c>
    </row>
    <row r="10" spans="2:19" ht="30" x14ac:dyDescent="0.25">
      <c r="B10" s="5" t="s">
        <v>96</v>
      </c>
      <c r="C10" s="50"/>
      <c r="D10" s="48">
        <v>4</v>
      </c>
      <c r="E10" s="7">
        <f>Tabeller!D49</f>
        <v>2</v>
      </c>
      <c r="F10" s="7">
        <f>IF(OR(D10=0,D10=""),"",IF(D10=1,Tabeller!E49,IF(D10=2,Tabeller!F49,IF(D10=3,Tabeller!G49,IF(D10=4,Tabeller!H49,Tabeller!I49)))))</f>
        <v>0.21</v>
      </c>
      <c r="G10" s="7">
        <f t="shared" si="0"/>
        <v>1.68</v>
      </c>
    </row>
    <row r="11" spans="2:19" x14ac:dyDescent="0.25">
      <c r="B11" s="5" t="s">
        <v>66</v>
      </c>
      <c r="C11" s="50"/>
      <c r="D11" s="48">
        <v>5</v>
      </c>
      <c r="E11" s="7">
        <f>Tabeller!D50</f>
        <v>1.5</v>
      </c>
      <c r="F11" s="7">
        <f>IF(OR(D11=0,D11=""),"",IF(D11=1,Tabeller!E50,IF(D11=2,Tabeller!F50,IF(D11=3,Tabeller!G50,IF(D11=4,Tabeller!H50,Tabeller!I50)))))</f>
        <v>0.2</v>
      </c>
      <c r="G11" s="7">
        <f t="shared" si="0"/>
        <v>1.5000000000000002</v>
      </c>
    </row>
    <row r="12" spans="2:19" ht="19.5" customHeight="1" x14ac:dyDescent="0.25">
      <c r="B12" s="5" t="s">
        <v>67</v>
      </c>
      <c r="C12" s="50"/>
      <c r="D12" s="48">
        <v>6</v>
      </c>
      <c r="E12" s="7">
        <f>Tabeller!D51</f>
        <v>2</v>
      </c>
      <c r="F12" s="7">
        <f>IF(OR(D12=0,D12=""),"",IF(D12=1,Tabeller!E51,IF(D12=2,Tabeller!F51,IF(D12=3,Tabeller!G51,IF(D12=4,Tabeller!H51,Tabeller!I51)))))</f>
        <v>0.2</v>
      </c>
      <c r="G12" s="7">
        <f t="shared" si="0"/>
        <v>2.4000000000000004</v>
      </c>
      <c r="L12" s="53"/>
      <c r="M12" s="53"/>
      <c r="N12" s="53"/>
      <c r="O12" s="53"/>
    </row>
    <row r="13" spans="2:19" ht="29.25" customHeight="1" x14ac:dyDescent="0.25">
      <c r="B13" s="5" t="s">
        <v>68</v>
      </c>
      <c r="C13" s="5" t="s">
        <v>69</v>
      </c>
      <c r="D13" s="48">
        <v>7</v>
      </c>
      <c r="E13" s="6">
        <f>IF(AND(B13=Tabeller!C52,C13=Tabeller!C53),Tabeller!D53,IF(AND(B13=Tabeller!C52,C13=Tabeller!C54),Tabeller!D54,Tabeller!D55))</f>
        <v>0.5</v>
      </c>
      <c r="F13" s="7">
        <f>IF(OR(D13=0,D13=""),"",IF(D13=1,Tabeller!E52,IF(D13=2,Tabeller!F52,IF(D13=3,Tabeller!G52,IF(D13=4,Tabeller!H52,Tabeller!I52)))))</f>
        <v>0.2</v>
      </c>
      <c r="G13" s="7">
        <f t="shared" si="0"/>
        <v>0.70000000000000007</v>
      </c>
    </row>
    <row r="14" spans="2:19" ht="24.75" customHeight="1" x14ac:dyDescent="0.25">
      <c r="B14" s="5" t="s">
        <v>72</v>
      </c>
      <c r="C14" s="50"/>
      <c r="D14" s="48">
        <v>8</v>
      </c>
      <c r="E14" s="7">
        <f>Tabeller!D56</f>
        <v>2</v>
      </c>
      <c r="F14" s="7">
        <f>IF(OR(D14=0,D14=""),"",IF(D14=1,Tabeller!E56,IF(D14=2,Tabeller!F56,IF(D14=3,Tabeller!G56,IF(D14=4,Tabeller!H56,Tabeller!I56)))))</f>
        <v>0.3</v>
      </c>
      <c r="G14" s="7">
        <f t="shared" si="0"/>
        <v>4.8</v>
      </c>
    </row>
    <row r="15" spans="2:19" ht="23.25" customHeight="1" x14ac:dyDescent="0.25">
      <c r="B15" s="121" t="s">
        <v>34</v>
      </c>
      <c r="C15" s="121"/>
      <c r="D15" s="121"/>
      <c r="E15" s="122"/>
      <c r="F15" s="9"/>
      <c r="G15" s="8">
        <f>SUM(G7:G14)</f>
        <v>13.001000000000001</v>
      </c>
    </row>
    <row r="16" spans="2:19" ht="23.25" customHeight="1" x14ac:dyDescent="0.25">
      <c r="B16" s="78"/>
      <c r="C16" s="78"/>
      <c r="D16" s="78"/>
      <c r="E16" s="78"/>
      <c r="F16" s="12"/>
      <c r="G16" s="79"/>
    </row>
    <row r="17" spans="1:11" x14ac:dyDescent="0.25">
      <c r="I17" s="1" t="str">
        <f>Tabeller!C9</f>
        <v>Tetthet (egenvekt ) fett og oljer</v>
      </c>
    </row>
    <row r="18" spans="1:11" ht="21" customHeight="1" x14ac:dyDescent="0.25">
      <c r="B18" s="73"/>
      <c r="C18" s="72"/>
      <c r="D18" s="72"/>
      <c r="E18" s="87" t="s">
        <v>142</v>
      </c>
      <c r="F18" s="107" t="s">
        <v>126</v>
      </c>
      <c r="G18" s="108"/>
      <c r="I18" s="31" t="str">
        <f>Tabeller!C10</f>
        <v>Produkt</v>
      </c>
      <c r="J18" s="59" t="str">
        <f>Tabeller!D10</f>
        <v>Tetthet (g/cm3)</v>
      </c>
    </row>
    <row r="19" spans="1:11" x14ac:dyDescent="0.25">
      <c r="A19" t="s">
        <v>36</v>
      </c>
      <c r="B19" s="111" t="str">
        <f>Tabeller!C3</f>
        <v>Tetthetsfaktor for fett (fd)</v>
      </c>
      <c r="C19" s="112"/>
      <c r="D19" s="113"/>
      <c r="E19" s="69" t="s">
        <v>1</v>
      </c>
      <c r="F19" s="119">
        <f>IF(E19=Tabeller!C5,Tabeller!D5,IF(E19=Tabeller!C6,Tabeller!D6,""))</f>
        <v>1.5</v>
      </c>
      <c r="G19" s="120"/>
      <c r="I19" s="62" t="str">
        <f>Tabeller!C11</f>
        <v xml:space="preserve">Animalsk fett </v>
      </c>
      <c r="J19" s="65" t="str">
        <f>Tabeller!D11</f>
        <v>0,85 -0,94</v>
      </c>
    </row>
    <row r="20" spans="1:11" x14ac:dyDescent="0.25">
      <c r="A20" t="s">
        <v>35</v>
      </c>
      <c r="B20" s="111" t="str">
        <f>Tabeller!C26&amp;" (ft)"</f>
        <v>Bruk av vaske-/rengjøringsmidler (ft)</v>
      </c>
      <c r="C20" s="112"/>
      <c r="D20" s="113"/>
      <c r="E20" s="70" t="s">
        <v>24</v>
      </c>
      <c r="F20" s="119">
        <f>IF(E20=Tabeller!C27,Tabeller!D27,IF(E20=Tabeller!C28,Tabeller!D28,IF(E20=Tabeller!C29,Tabeller!D29,"")))</f>
        <v>1</v>
      </c>
      <c r="G20" s="120"/>
      <c r="I20" s="63" t="str">
        <f>Tabeller!C12</f>
        <v>Smørfett / olivenolje</v>
      </c>
      <c r="J20" s="66">
        <f>Tabeller!D12</f>
        <v>0.91</v>
      </c>
      <c r="K20" s="53"/>
    </row>
    <row r="21" spans="1:11" x14ac:dyDescent="0.25">
      <c r="A21" t="s">
        <v>37</v>
      </c>
      <c r="B21" s="111" t="str">
        <f>Tabeller!C20&amp;" (fr)"</f>
        <v>Temperatur på avløpsvann ved innløp (fr)</v>
      </c>
      <c r="C21" s="112"/>
      <c r="D21" s="113"/>
      <c r="E21" s="70" t="s">
        <v>125</v>
      </c>
      <c r="F21" s="119">
        <f>IF(E21=Tabeller!C21,Tabeller!D21,Tabeller!D22)</f>
        <v>1</v>
      </c>
      <c r="G21" s="120"/>
      <c r="I21" s="63" t="str">
        <f>Tabeller!C13</f>
        <v>Kokosolje / maisolje</v>
      </c>
      <c r="J21" s="66" t="str">
        <f>Tabeller!D13</f>
        <v>0,92 - 0,93</v>
      </c>
    </row>
    <row r="22" spans="1:11" x14ac:dyDescent="0.25">
      <c r="I22" s="63" t="str">
        <f>Tabeller!C14</f>
        <v>Fiskeolje</v>
      </c>
      <c r="J22" s="66" t="str">
        <f>Tabeller!D14</f>
        <v>0,89 - 0,94</v>
      </c>
    </row>
    <row r="23" spans="1:11" ht="18.75" customHeight="1" x14ac:dyDescent="0.25">
      <c r="B23" s="111" t="s">
        <v>105</v>
      </c>
      <c r="C23" s="112"/>
      <c r="D23" s="112"/>
      <c r="E23" s="113"/>
      <c r="F23" s="109" t="str">
        <f>"NS = "&amp;(G15*F19*F20*F21)</f>
        <v>NS = 19,5015</v>
      </c>
      <c r="G23" s="110"/>
      <c r="I23" s="63" t="str">
        <f>Tabeller!C15</f>
        <v>Palmeolje / rapsolje</v>
      </c>
      <c r="J23" s="66" t="str">
        <f>Tabeller!D15</f>
        <v>0,91 - 0,92</v>
      </c>
    </row>
    <row r="24" spans="1:11" ht="20.25" customHeight="1" x14ac:dyDescent="0.25">
      <c r="C24" s="157"/>
      <c r="I24" s="64" t="str">
        <f>Tabeller!C16</f>
        <v>Vegetabilsk olje</v>
      </c>
      <c r="J24" s="67" t="str">
        <f>Tabeller!D16</f>
        <v>0,95 - 0,97</v>
      </c>
    </row>
    <row r="25" spans="1:11" x14ac:dyDescent="0.25">
      <c r="A25" t="s">
        <v>127</v>
      </c>
      <c r="B25" t="s">
        <v>152</v>
      </c>
    </row>
    <row r="27" spans="1:11" x14ac:dyDescent="0.25">
      <c r="B27" t="s">
        <v>106</v>
      </c>
    </row>
    <row r="28" spans="1:11" ht="8.25" customHeight="1" x14ac:dyDescent="0.25"/>
    <row r="29" spans="1:11" ht="22.5" customHeight="1" x14ac:dyDescent="0.25">
      <c r="B29" s="96" t="s">
        <v>107</v>
      </c>
      <c r="C29" s="97"/>
      <c r="D29" s="97"/>
      <c r="E29" s="98"/>
      <c r="F29" s="117" t="str">
        <f>MID(F23,5,4)*100&amp;"  liter"</f>
        <v>1900  liter</v>
      </c>
      <c r="G29" s="118"/>
    </row>
    <row r="38" spans="2:2" x14ac:dyDescent="0.25">
      <c r="B38" t="s">
        <v>153</v>
      </c>
    </row>
    <row r="40" spans="2:2" x14ac:dyDescent="0.25">
      <c r="B40" s="1" t="s">
        <v>154</v>
      </c>
    </row>
    <row r="44" spans="2:2" x14ac:dyDescent="0.25">
      <c r="B44" s="1" t="s">
        <v>155</v>
      </c>
    </row>
    <row r="47" spans="2:2" ht="23.25" customHeight="1" x14ac:dyDescent="0.25"/>
    <row r="48" spans="2:2" x14ac:dyDescent="0.25">
      <c r="B48" t="s">
        <v>156</v>
      </c>
    </row>
    <row r="51" spans="2:6" ht="22.5" customHeight="1" x14ac:dyDescent="0.25"/>
    <row r="52" spans="2:6" ht="22.5" customHeight="1" x14ac:dyDescent="0.25"/>
    <row r="53" spans="2:6" x14ac:dyDescent="0.25">
      <c r="B53" s="1" t="s">
        <v>157</v>
      </c>
      <c r="F53" s="99">
        <f>ROUNDUP(F55,100)</f>
        <v>19.5</v>
      </c>
    </row>
    <row r="54" spans="2:6" x14ac:dyDescent="0.25">
      <c r="F54" s="1"/>
    </row>
    <row r="55" spans="2:6" x14ac:dyDescent="0.25">
      <c r="B55" s="1" t="s">
        <v>158</v>
      </c>
      <c r="F55" s="100" t="str">
        <f>MID(F23,5,6)</f>
        <v xml:space="preserve"> 19,50</v>
      </c>
    </row>
    <row r="56" spans="2:6" x14ac:dyDescent="0.25">
      <c r="F56" s="1"/>
    </row>
    <row r="57" spans="2:6" x14ac:dyDescent="0.25">
      <c r="B57" s="1" t="s">
        <v>159</v>
      </c>
      <c r="F57" s="101"/>
    </row>
    <row r="58" spans="2:6" x14ac:dyDescent="0.25">
      <c r="F58" s="1"/>
    </row>
    <row r="59" spans="2:6" x14ac:dyDescent="0.25">
      <c r="B59" s="1" t="s">
        <v>160</v>
      </c>
      <c r="F59" s="102" t="s">
        <v>163</v>
      </c>
    </row>
    <row r="60" spans="2:6" x14ac:dyDescent="0.25">
      <c r="F60" s="1"/>
    </row>
    <row r="61" spans="2:6" x14ac:dyDescent="0.25">
      <c r="B61" s="1" t="s">
        <v>161</v>
      </c>
      <c r="F61" s="1"/>
    </row>
    <row r="62" spans="2:6" x14ac:dyDescent="0.25">
      <c r="B62" s="1" t="s">
        <v>162</v>
      </c>
      <c r="F62" s="102" t="str">
        <f>F53*100&amp;" liter"</f>
        <v>1950 liter</v>
      </c>
    </row>
    <row r="65" spans="2:6" x14ac:dyDescent="0.25">
      <c r="B65" s="103" t="s">
        <v>164</v>
      </c>
      <c r="C65" s="104"/>
      <c r="D65" s="104"/>
      <c r="E65" s="104"/>
      <c r="F65" s="104"/>
    </row>
    <row r="67" spans="2:6" ht="36.75" customHeight="1" x14ac:dyDescent="0.25">
      <c r="B67" s="1" t="s">
        <v>109</v>
      </c>
      <c r="C67" s="158" t="str">
        <f>C2</f>
        <v>Pr. Kjøkkenutstyr og tappekraner for fettutskiller etter NS-EN-1825-2</v>
      </c>
      <c r="D67" s="158"/>
      <c r="E67" s="158"/>
      <c r="F67" s="158"/>
    </row>
    <row r="69" spans="2:6" x14ac:dyDescent="0.25">
      <c r="B69" s="1"/>
    </row>
  </sheetData>
  <mergeCells count="13">
    <mergeCell ref="C67:F67"/>
    <mergeCell ref="F18:G18"/>
    <mergeCell ref="F23:G23"/>
    <mergeCell ref="B23:E23"/>
    <mergeCell ref="B4:G4"/>
    <mergeCell ref="F29:G29"/>
    <mergeCell ref="F19:G19"/>
    <mergeCell ref="B20:D20"/>
    <mergeCell ref="F20:G20"/>
    <mergeCell ref="B21:D21"/>
    <mergeCell ref="F21:G21"/>
    <mergeCell ref="B15:E15"/>
    <mergeCell ref="B19:D19"/>
  </mergeCells>
  <pageMargins left="0.7" right="0.7" top="0.75" bottom="0.75" header="0.3" footer="0.3"/>
  <pageSetup paperSize="9" scale="96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Tabeller!$C$36:$C$37</xm:f>
          </x14:formula1>
          <xm:sqref>C6</xm:sqref>
        </x14:dataValidation>
        <x14:dataValidation type="list" allowBlank="1" showInputMessage="1" showErrorMessage="1">
          <x14:formula1>
            <xm:f>Tabeller!$C$39:$C$40</xm:f>
          </x14:formula1>
          <xm:sqref>C7</xm:sqref>
        </x14:dataValidation>
        <x14:dataValidation type="list" allowBlank="1" showInputMessage="1" showErrorMessage="1">
          <x14:formula1>
            <xm:f>Tabeller!$C$42:$C$45</xm:f>
          </x14:formula1>
          <xm:sqref>C8</xm:sqref>
        </x14:dataValidation>
        <x14:dataValidation type="list" allowBlank="1" showInputMessage="1" showErrorMessage="1">
          <x14:formula1>
            <xm:f>Tabeller!$C$47:$C$48</xm:f>
          </x14:formula1>
          <xm:sqref>C9</xm:sqref>
        </x14:dataValidation>
        <x14:dataValidation type="list" allowBlank="1" showInputMessage="1" showErrorMessage="1">
          <x14:formula1>
            <xm:f>Tabeller!$C$53:$C$55</xm:f>
          </x14:formula1>
          <xm:sqref>C13</xm:sqref>
        </x14:dataValidation>
        <x14:dataValidation type="list" allowBlank="1" showInputMessage="1" showErrorMessage="1">
          <x14:formula1>
            <xm:f>Tabeller!$C$21:$C$22</xm:f>
          </x14:formula1>
          <xm:sqref>E21</xm:sqref>
        </x14:dataValidation>
        <x14:dataValidation type="list" allowBlank="1" showInputMessage="1" showErrorMessage="1">
          <x14:formula1>
            <xm:f>Tabeller!$C$27:$C$29</xm:f>
          </x14:formula1>
          <xm:sqref>E20</xm:sqref>
        </x14:dataValidation>
        <x14:dataValidation type="list" allowBlank="1" showInputMessage="1" showErrorMessage="1">
          <x14:formula1>
            <xm:f>Tabeller!$C$5:$C$6</xm:f>
          </x14:formula1>
          <xm:sqref>E19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4"/>
  <sheetViews>
    <sheetView tabSelected="1" workbookViewId="0">
      <selection activeCell="I73" sqref="I73"/>
    </sheetView>
  </sheetViews>
  <sheetFormatPr defaultRowHeight="15" x14ac:dyDescent="0.25"/>
  <cols>
    <col min="4" max="4" width="21.140625" customWidth="1"/>
    <col min="5" max="5" width="28.140625" style="10" customWidth="1"/>
    <col min="8" max="8" width="11.85546875" customWidth="1"/>
    <col min="9" max="9" width="20.5703125" customWidth="1"/>
    <col min="10" max="10" width="17.42578125" customWidth="1"/>
  </cols>
  <sheetData>
    <row r="2" spans="1:12" ht="24" customHeight="1" x14ac:dyDescent="0.3">
      <c r="B2" s="123" t="s">
        <v>108</v>
      </c>
      <c r="C2" s="124"/>
      <c r="D2" s="92" t="s">
        <v>144</v>
      </c>
      <c r="E2" s="93"/>
      <c r="F2" s="15"/>
      <c r="G2" s="9"/>
    </row>
    <row r="4" spans="1:12" ht="21" customHeight="1" x14ac:dyDescent="0.25">
      <c r="B4" s="57" t="s">
        <v>109</v>
      </c>
      <c r="C4" s="58"/>
      <c r="D4" s="125" t="s">
        <v>79</v>
      </c>
      <c r="E4" s="136"/>
      <c r="F4" s="136"/>
      <c r="G4" s="126"/>
    </row>
    <row r="5" spans="1:12" x14ac:dyDescent="0.25">
      <c r="I5" s="10"/>
    </row>
    <row r="6" spans="1:12" ht="23.25" customHeight="1" x14ac:dyDescent="0.25">
      <c r="B6" s="131" t="s">
        <v>147</v>
      </c>
      <c r="C6" s="132"/>
      <c r="D6" s="132"/>
      <c r="E6" s="132"/>
      <c r="F6" s="132"/>
      <c r="G6" s="133"/>
      <c r="L6" s="1"/>
    </row>
    <row r="7" spans="1:12" ht="20.25" customHeight="1" x14ac:dyDescent="0.25">
      <c r="B7" s="131" t="s">
        <v>115</v>
      </c>
      <c r="C7" s="132"/>
      <c r="D7" s="133"/>
      <c r="E7" s="131" t="s">
        <v>116</v>
      </c>
      <c r="F7" s="132"/>
      <c r="G7" s="133"/>
    </row>
    <row r="8" spans="1:12" ht="28.5" customHeight="1" x14ac:dyDescent="0.25">
      <c r="A8" t="s">
        <v>75</v>
      </c>
      <c r="B8" s="111" t="s">
        <v>110</v>
      </c>
      <c r="C8" s="112"/>
      <c r="D8" s="112"/>
      <c r="E8" s="113"/>
      <c r="F8" s="134">
        <f>IF(D4=Tabeller!C60,Tabeller!D60,IF(D4=Tabeller!C61,Tabeller!D61,IF(D4=Tabeller!C62,Tabeller!D62,IF(D4=Tabeller!C63,Tabeller!D63,Tabeller!D64))))</f>
        <v>13</v>
      </c>
      <c r="G8" s="135"/>
    </row>
    <row r="9" spans="1:12" ht="28.5" customHeight="1" x14ac:dyDescent="0.25">
      <c r="A9" t="s">
        <v>111</v>
      </c>
      <c r="B9" s="111" t="s">
        <v>113</v>
      </c>
      <c r="C9" s="112"/>
      <c r="D9" s="112"/>
      <c r="E9" s="113"/>
      <c r="F9" s="134">
        <f>IF(D4=Tabeller!C60,Tabeller!E60,IF(D4=Tabeller!C61,Tabeller!E61,IF(D4=Tabeller!C62,Tabeller!E62,IF(D4=Tabeller!C63,Tabeller!E63,IF(D4=Tabeller!C64,Tabeller!E64,Tabeller!E65)))))</f>
        <v>20</v>
      </c>
      <c r="G9" s="135"/>
    </row>
    <row r="10" spans="1:12" ht="28.5" customHeight="1" x14ac:dyDescent="0.25">
      <c r="A10" t="s">
        <v>114</v>
      </c>
      <c r="B10" s="111" t="s">
        <v>148</v>
      </c>
      <c r="C10" s="112"/>
      <c r="D10" s="112"/>
      <c r="E10" s="113"/>
      <c r="F10" s="114">
        <v>2000</v>
      </c>
      <c r="G10" s="116"/>
    </row>
    <row r="11" spans="1:12" ht="28.5" customHeight="1" x14ac:dyDescent="0.25">
      <c r="A11" t="s">
        <v>112</v>
      </c>
      <c r="B11" s="111" t="s">
        <v>149</v>
      </c>
      <c r="C11" s="112"/>
      <c r="D11" s="112"/>
      <c r="E11" s="113"/>
      <c r="F11" s="125">
        <v>10</v>
      </c>
      <c r="G11" s="126"/>
    </row>
    <row r="12" spans="1:12" ht="28.5" customHeight="1" x14ac:dyDescent="0.25">
      <c r="B12" s="137" t="s">
        <v>145</v>
      </c>
      <c r="C12" s="138"/>
      <c r="D12" s="138"/>
      <c r="E12" s="139"/>
      <c r="F12" s="127" t="str">
        <f>MID(F10*F9*(F8/F11)/3600,1,4)&amp;" l/s"</f>
        <v>14,4 l/s</v>
      </c>
      <c r="G12" s="128"/>
      <c r="I12" s="1" t="str">
        <f>Tabeller!C9</f>
        <v>Tetthet (egenvekt ) fett og oljer</v>
      </c>
    </row>
    <row r="13" spans="1:12" ht="28.5" customHeight="1" x14ac:dyDescent="0.25">
      <c r="B13" s="73"/>
      <c r="C13" s="72"/>
      <c r="D13" s="72"/>
      <c r="E13" s="32" t="str">
        <f>Tabeller!C4</f>
        <v>Tetthet (g/cm3)</v>
      </c>
      <c r="F13" s="58" t="str">
        <f>Tabeller!D4</f>
        <v>Tetthetsfaktor (fd)</v>
      </c>
      <c r="G13" s="56"/>
      <c r="I13" s="31" t="str">
        <f>Tabeller!C10</f>
        <v>Produkt</v>
      </c>
      <c r="J13" s="59" t="str">
        <f>Tabeller!D10</f>
        <v>Tetthet (g/cm3)</v>
      </c>
    </row>
    <row r="14" spans="1:12" ht="19.5" customHeight="1" x14ac:dyDescent="0.25">
      <c r="B14" s="111" t="str">
        <f>Tabeller!C3</f>
        <v>Tetthetsfaktor for fett (fd)</v>
      </c>
      <c r="C14" s="112"/>
      <c r="D14" s="113"/>
      <c r="E14" s="69" t="s">
        <v>0</v>
      </c>
      <c r="F14" s="119">
        <f>IF(E14=Tabeller!C5,Tabeller!D5,IF(E14=Tabeller!C6,Tabeller!D6,""))</f>
        <v>1</v>
      </c>
      <c r="G14" s="120"/>
      <c r="I14" s="62" t="str">
        <f>Tabeller!C11</f>
        <v xml:space="preserve">Animalsk fett </v>
      </c>
      <c r="J14" s="65" t="str">
        <f>Tabeller!D11</f>
        <v>0,85 -0,94</v>
      </c>
    </row>
    <row r="15" spans="1:12" ht="18" customHeight="1" x14ac:dyDescent="0.25">
      <c r="A15" t="s">
        <v>117</v>
      </c>
      <c r="B15" s="80"/>
      <c r="C15" s="71"/>
      <c r="D15" s="71"/>
      <c r="E15" s="37"/>
      <c r="F15" s="37"/>
      <c r="G15" s="68"/>
      <c r="I15" s="63" t="str">
        <f>Tabeller!C12</f>
        <v>Smørfett / olivenolje</v>
      </c>
      <c r="J15" s="66">
        <f>Tabeller!D12</f>
        <v>0.91</v>
      </c>
    </row>
    <row r="16" spans="1:12" ht="29.25" customHeight="1" x14ac:dyDescent="0.25">
      <c r="A16" t="s">
        <v>118</v>
      </c>
      <c r="B16" s="111" t="s">
        <v>150</v>
      </c>
      <c r="C16" s="112"/>
      <c r="D16" s="113"/>
      <c r="E16" s="70" t="s">
        <v>24</v>
      </c>
      <c r="F16" s="119">
        <f>IF(E16=Tabeller!C27,Tabeller!D27,IF('Metode 3'!E16=Tabeller!C28,Tabeller!D28,IF('Metode 3'!E16=Tabeller!C29,Tabeller!D29,"")))</f>
        <v>1</v>
      </c>
      <c r="G16" s="120"/>
      <c r="I16" s="63" t="str">
        <f>Tabeller!C13</f>
        <v>Kokosolje / maisolje</v>
      </c>
      <c r="J16" s="66" t="str">
        <f>Tabeller!D13</f>
        <v>0,92 - 0,93</v>
      </c>
    </row>
    <row r="17" spans="1:10" ht="15" customHeight="1" x14ac:dyDescent="0.25">
      <c r="B17" s="80"/>
      <c r="C17" s="71"/>
      <c r="D17" s="71"/>
      <c r="E17" s="95"/>
      <c r="F17" s="37"/>
      <c r="G17" s="68"/>
      <c r="I17" s="63" t="str">
        <f>Tabeller!C14</f>
        <v>Fiskeolje</v>
      </c>
      <c r="J17" s="66" t="str">
        <f>Tabeller!D14</f>
        <v>0,89 - 0,94</v>
      </c>
    </row>
    <row r="18" spans="1:10" x14ac:dyDescent="0.25">
      <c r="A18" t="s">
        <v>119</v>
      </c>
      <c r="B18" s="111" t="s">
        <v>151</v>
      </c>
      <c r="C18" s="112"/>
      <c r="D18" s="113"/>
      <c r="E18" s="69" t="s">
        <v>125</v>
      </c>
      <c r="F18" s="119">
        <f>IF(E23=Tabeller!C21,Tabeller!D21,Tabeller!D22)</f>
        <v>1.3</v>
      </c>
      <c r="G18" s="120"/>
      <c r="I18" s="63" t="str">
        <f>Tabeller!C15</f>
        <v>Palmeolje / rapsolje</v>
      </c>
      <c r="J18" s="66" t="str">
        <f>Tabeller!D15</f>
        <v>0,91 - 0,92</v>
      </c>
    </row>
    <row r="19" spans="1:10" ht="27.75" customHeight="1" x14ac:dyDescent="0.3">
      <c r="B19" s="94" t="s">
        <v>146</v>
      </c>
      <c r="C19" s="15"/>
      <c r="D19" s="15"/>
      <c r="E19" s="14"/>
      <c r="F19" s="129">
        <f>MID(F12,1,3)*F14*F16*F18</f>
        <v>18.2</v>
      </c>
      <c r="G19" s="130"/>
      <c r="I19" s="64" t="str">
        <f>Tabeller!C16</f>
        <v>Vegetabilsk olje</v>
      </c>
      <c r="J19" s="67" t="str">
        <f>Tabeller!D16</f>
        <v>0,95 - 0,97</v>
      </c>
    </row>
    <row r="20" spans="1:10" ht="25.5" customHeight="1" x14ac:dyDescent="0.25"/>
    <row r="33" spans="2:6" x14ac:dyDescent="0.25">
      <c r="E33"/>
    </row>
    <row r="34" spans="2:6" x14ac:dyDescent="0.25">
      <c r="B34" t="s">
        <v>153</v>
      </c>
      <c r="E34"/>
    </row>
    <row r="35" spans="2:6" x14ac:dyDescent="0.25">
      <c r="E35"/>
    </row>
    <row r="36" spans="2:6" x14ac:dyDescent="0.25">
      <c r="B36" s="1" t="s">
        <v>154</v>
      </c>
      <c r="E36"/>
    </row>
    <row r="37" spans="2:6" x14ac:dyDescent="0.25">
      <c r="E37"/>
    </row>
    <row r="38" spans="2:6" ht="24" customHeight="1" x14ac:dyDescent="0.25">
      <c r="B38" s="159"/>
      <c r="C38" s="159"/>
      <c r="D38" s="159"/>
      <c r="E38" s="159"/>
      <c r="F38" s="159"/>
    </row>
    <row r="39" spans="2:6" x14ac:dyDescent="0.25">
      <c r="E39"/>
    </row>
    <row r="40" spans="2:6" x14ac:dyDescent="0.25">
      <c r="B40" s="1" t="s">
        <v>155</v>
      </c>
      <c r="E40"/>
    </row>
    <row r="41" spans="2:6" x14ac:dyDescent="0.25">
      <c r="E41"/>
    </row>
    <row r="42" spans="2:6" x14ac:dyDescent="0.25">
      <c r="E42"/>
    </row>
    <row r="43" spans="2:6" x14ac:dyDescent="0.25">
      <c r="E43"/>
    </row>
    <row r="44" spans="2:6" x14ac:dyDescent="0.25">
      <c r="B44" s="1" t="s">
        <v>156</v>
      </c>
      <c r="E44"/>
    </row>
    <row r="45" spans="2:6" x14ac:dyDescent="0.25">
      <c r="E45"/>
    </row>
    <row r="46" spans="2:6" x14ac:dyDescent="0.25">
      <c r="E46"/>
    </row>
    <row r="47" spans="2:6" x14ac:dyDescent="0.25">
      <c r="E47"/>
    </row>
    <row r="48" spans="2:6" x14ac:dyDescent="0.25">
      <c r="E48"/>
    </row>
    <row r="49" spans="2:6" x14ac:dyDescent="0.25">
      <c r="B49" s="1" t="s">
        <v>157</v>
      </c>
      <c r="E49"/>
      <c r="F49" s="99">
        <f>ROUNDUP(F19,100)</f>
        <v>18.2</v>
      </c>
    </row>
    <row r="50" spans="2:6" x14ac:dyDescent="0.25">
      <c r="E50"/>
      <c r="F50" s="1"/>
    </row>
    <row r="51" spans="2:6" x14ac:dyDescent="0.25">
      <c r="B51" s="1" t="s">
        <v>158</v>
      </c>
      <c r="E51"/>
      <c r="F51" s="100">
        <f>F19</f>
        <v>18.2</v>
      </c>
    </row>
    <row r="52" spans="2:6" x14ac:dyDescent="0.25">
      <c r="E52"/>
      <c r="F52" s="1"/>
    </row>
    <row r="53" spans="2:6" x14ac:dyDescent="0.25">
      <c r="B53" s="1" t="s">
        <v>159</v>
      </c>
      <c r="E53"/>
      <c r="F53" s="101"/>
    </row>
    <row r="54" spans="2:6" x14ac:dyDescent="0.25">
      <c r="E54"/>
      <c r="F54" s="1"/>
    </row>
    <row r="55" spans="2:6" x14ac:dyDescent="0.25">
      <c r="B55" s="1" t="s">
        <v>160</v>
      </c>
      <c r="E55"/>
      <c r="F55" s="102" t="s">
        <v>163</v>
      </c>
    </row>
    <row r="56" spans="2:6" x14ac:dyDescent="0.25">
      <c r="E56"/>
      <c r="F56" s="1"/>
    </row>
    <row r="57" spans="2:6" x14ac:dyDescent="0.25">
      <c r="B57" s="1" t="s">
        <v>161</v>
      </c>
      <c r="E57"/>
      <c r="F57" s="1"/>
    </row>
    <row r="58" spans="2:6" x14ac:dyDescent="0.25">
      <c r="B58" s="1" t="s">
        <v>162</v>
      </c>
      <c r="E58"/>
      <c r="F58" s="102" t="str">
        <f>F49*100&amp;" liter"</f>
        <v>1820 liter</v>
      </c>
    </row>
    <row r="59" spans="2:6" x14ac:dyDescent="0.25">
      <c r="E59"/>
    </row>
    <row r="60" spans="2:6" x14ac:dyDescent="0.25">
      <c r="E60"/>
    </row>
    <row r="61" spans="2:6" x14ac:dyDescent="0.25">
      <c r="B61" s="103" t="s">
        <v>164</v>
      </c>
      <c r="C61" s="104"/>
      <c r="D61" s="104"/>
      <c r="E61" s="104"/>
      <c r="F61" s="104"/>
    </row>
    <row r="62" spans="2:6" x14ac:dyDescent="0.25">
      <c r="E62"/>
    </row>
    <row r="63" spans="2:6" x14ac:dyDescent="0.25">
      <c r="B63" s="1" t="s">
        <v>109</v>
      </c>
      <c r="E63"/>
    </row>
    <row r="64" spans="2:6" x14ac:dyDescent="0.25">
      <c r="E64"/>
    </row>
    <row r="65" spans="2:8" x14ac:dyDescent="0.25">
      <c r="B65" s="1" t="s">
        <v>165</v>
      </c>
      <c r="E65"/>
    </row>
    <row r="66" spans="2:8" x14ac:dyDescent="0.25">
      <c r="B66" s="1"/>
      <c r="E66"/>
    </row>
    <row r="67" spans="2:8" x14ac:dyDescent="0.25">
      <c r="B67" s="1" t="s">
        <v>170</v>
      </c>
      <c r="E67" t="s">
        <v>171</v>
      </c>
      <c r="F67" s="6">
        <f>F11</f>
        <v>10</v>
      </c>
      <c r="H67" s="6" t="str">
        <f>"Qs=  "&amp;F12</f>
        <v>Qs=  14,4 l/s</v>
      </c>
    </row>
    <row r="68" spans="2:8" x14ac:dyDescent="0.25">
      <c r="E68"/>
    </row>
    <row r="69" spans="2:8" x14ac:dyDescent="0.25">
      <c r="B69" s="1" t="s">
        <v>166</v>
      </c>
      <c r="E69" t="s">
        <v>167</v>
      </c>
      <c r="F69" s="6">
        <f>F14</f>
        <v>1</v>
      </c>
      <c r="H69" s="106" t="str">
        <f>"fr=         "&amp;F16</f>
        <v>fr=         1</v>
      </c>
    </row>
    <row r="70" spans="2:8" x14ac:dyDescent="0.25">
      <c r="E70"/>
    </row>
    <row r="71" spans="2:8" x14ac:dyDescent="0.25">
      <c r="E71" t="s">
        <v>168</v>
      </c>
      <c r="F71" s="33" t="str">
        <f>E18</f>
        <v>&lt; 60 gr.</v>
      </c>
      <c r="H71" s="106" t="str">
        <f>"ft=         "&amp;F18</f>
        <v>ft=         1,3</v>
      </c>
    </row>
    <row r="73" spans="2:8" x14ac:dyDescent="0.25">
      <c r="E73" s="105" t="s">
        <v>169</v>
      </c>
      <c r="F73" s="160" t="str">
        <f>E16</f>
        <v>Anvendes aldri</v>
      </c>
      <c r="G73" s="161"/>
      <c r="H73" s="162"/>
    </row>
    <row r="74" spans="2:8" x14ac:dyDescent="0.25">
      <c r="E74" s="105"/>
    </row>
  </sheetData>
  <mergeCells count="24">
    <mergeCell ref="D4:G4"/>
    <mergeCell ref="B12:E12"/>
    <mergeCell ref="F73:H73"/>
    <mergeCell ref="F9:G9"/>
    <mergeCell ref="F10:G10"/>
    <mergeCell ref="B11:E11"/>
    <mergeCell ref="E7:G7"/>
    <mergeCell ref="B6:G6"/>
    <mergeCell ref="B38:F38"/>
    <mergeCell ref="B2:C2"/>
    <mergeCell ref="F14:G14"/>
    <mergeCell ref="F16:G16"/>
    <mergeCell ref="F11:G11"/>
    <mergeCell ref="F12:G12"/>
    <mergeCell ref="F19:G19"/>
    <mergeCell ref="B7:D7"/>
    <mergeCell ref="B8:E8"/>
    <mergeCell ref="B9:E9"/>
    <mergeCell ref="B10:E10"/>
    <mergeCell ref="F18:G18"/>
    <mergeCell ref="B14:D14"/>
    <mergeCell ref="B18:D18"/>
    <mergeCell ref="B16:D16"/>
    <mergeCell ref="F8:G8"/>
  </mergeCells>
  <dataValidations count="1">
    <dataValidation type="list" allowBlank="1" showInputMessage="1" showErrorMessage="1" sqref="F11:G11">
      <formula1>"8,10,12"</formula1>
    </dataValidation>
  </dataValidations>
  <pageMargins left="0.7" right="0.7" top="0.75" bottom="0.75" header="0.3" footer="0.3"/>
  <pageSetup paperSize="9" scale="89" fitToHeight="0" orientation="portrait" horizontalDpi="4294967293" verticalDpi="0" r:id="rId1"/>
  <rowBreaks count="1" manualBreakCount="1">
    <brk id="3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Tabeller!$C$60:$C$64</xm:f>
          </x14:formula1>
          <xm:sqref>D4</xm:sqref>
        </x14:dataValidation>
        <x14:dataValidation type="list" allowBlank="1" showInputMessage="1" showErrorMessage="1">
          <x14:formula1>
            <xm:f>Tabeller!$C$5:$C$6</xm:f>
          </x14:formula1>
          <xm:sqref>E14</xm:sqref>
        </x14:dataValidation>
        <x14:dataValidation type="list" allowBlank="1" showInputMessage="1" showErrorMessage="1">
          <x14:formula1>
            <xm:f>Tabeller!$C$27:$C$29</xm:f>
          </x14:formula1>
          <xm:sqref>E16</xm:sqref>
        </x14:dataValidation>
        <x14:dataValidation type="list" allowBlank="1" showInputMessage="1" showErrorMessage="1">
          <x14:formula1>
            <xm:f>Tabeller!$C$21:$C$22</xm:f>
          </x14:formula1>
          <xm:sqref>E18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opLeftCell="A13" workbookViewId="0">
      <selection activeCell="J5" sqref="J5"/>
    </sheetView>
  </sheetViews>
  <sheetFormatPr defaultRowHeight="15" x14ac:dyDescent="0.25"/>
  <cols>
    <col min="2" max="2" width="9.140625" style="81"/>
    <col min="3" max="3" width="16.28515625" customWidth="1"/>
    <col min="4" max="4" width="14" customWidth="1"/>
    <col min="5" max="5" width="18.7109375" customWidth="1"/>
    <col min="6" max="6" width="20" customWidth="1"/>
  </cols>
  <sheetData>
    <row r="2" spans="1:7" ht="20.25" customHeight="1" x14ac:dyDescent="0.3">
      <c r="B2" s="86" t="s">
        <v>138</v>
      </c>
      <c r="C2" s="85"/>
      <c r="D2" s="137" t="s">
        <v>143</v>
      </c>
      <c r="E2" s="138"/>
      <c r="F2" s="138"/>
      <c r="G2" s="139"/>
    </row>
    <row r="4" spans="1:7" ht="23.25" customHeight="1" x14ac:dyDescent="0.25">
      <c r="A4" t="s">
        <v>112</v>
      </c>
      <c r="B4" s="142" t="s">
        <v>140</v>
      </c>
      <c r="C4" s="142"/>
      <c r="D4" s="111"/>
      <c r="E4" s="56"/>
      <c r="F4" s="125">
        <v>8</v>
      </c>
      <c r="G4" s="126"/>
    </row>
    <row r="5" spans="1:7" ht="23.25" customHeight="1" x14ac:dyDescent="0.25">
      <c r="B5" s="73" t="s">
        <v>130</v>
      </c>
      <c r="C5" s="72"/>
      <c r="D5" s="72"/>
      <c r="E5" s="59"/>
    </row>
    <row r="6" spans="1:7" ht="23.25" customHeight="1" x14ac:dyDescent="0.25">
      <c r="B6" s="111" t="s">
        <v>131</v>
      </c>
      <c r="C6" s="112"/>
      <c r="D6" s="89"/>
      <c r="E6" s="90"/>
    </row>
    <row r="7" spans="1:7" ht="34.5" customHeight="1" x14ac:dyDescent="0.25">
      <c r="B7" s="140" t="s">
        <v>129</v>
      </c>
      <c r="C7" s="141"/>
      <c r="D7" s="107" t="s">
        <v>90</v>
      </c>
      <c r="E7" s="108"/>
      <c r="F7" s="154" t="str">
        <f>Tabeller!E68</f>
        <v>Vannforbruk pr. Kg. kjøttprodukt (Vp) [liter]</v>
      </c>
      <c r="G7" s="154"/>
    </row>
    <row r="8" spans="1:7" ht="29.25" customHeight="1" x14ac:dyDescent="0.25">
      <c r="A8" t="s">
        <v>136</v>
      </c>
      <c r="B8" s="143" t="s">
        <v>89</v>
      </c>
      <c r="C8" s="144"/>
      <c r="D8" s="145">
        <f>IF(B8=Tabeller!C69,Tabeller!D69,IF(B8=Tabeller!C70,Tabeller!D70,IF(B8=Tabeller!C71,Tabeller!D71,"")))</f>
        <v>40</v>
      </c>
      <c r="E8" s="145"/>
      <c r="F8" s="155">
        <f>IF(B8=Tabeller!C69,Tabeller!E69,IF(B8=Tabeller!C70,Tabeller!E70,IF(B8=Tabeller!C71,Tabeller!E71,"")))</f>
        <v>10</v>
      </c>
      <c r="G8" s="155"/>
    </row>
    <row r="9" spans="1:7" ht="24" customHeight="1" x14ac:dyDescent="0.25">
      <c r="A9" t="s">
        <v>128</v>
      </c>
      <c r="B9" s="82" t="s">
        <v>141</v>
      </c>
      <c r="C9" s="58"/>
      <c r="D9" s="34"/>
      <c r="E9" s="2"/>
      <c r="F9" s="114">
        <v>8</v>
      </c>
      <c r="G9" s="116"/>
    </row>
    <row r="10" spans="1:7" ht="24" customHeight="1" x14ac:dyDescent="0.25">
      <c r="B10" s="82" t="s">
        <v>139</v>
      </c>
      <c r="C10" s="58"/>
      <c r="D10" s="75"/>
      <c r="E10" s="58"/>
      <c r="F10" s="150">
        <f>F9*100/5</f>
        <v>160</v>
      </c>
      <c r="G10" s="151"/>
    </row>
    <row r="11" spans="1:7" ht="21" customHeight="1" x14ac:dyDescent="0.25">
      <c r="B11" s="83" t="s">
        <v>132</v>
      </c>
      <c r="C11" s="15"/>
      <c r="D11" s="15"/>
      <c r="E11" s="15"/>
      <c r="F11" s="12"/>
      <c r="G11" s="15"/>
    </row>
    <row r="12" spans="1:7" s="1" customFormat="1" ht="26.25" customHeight="1" x14ac:dyDescent="0.25">
      <c r="B12" s="82" t="s">
        <v>133</v>
      </c>
      <c r="C12" s="58"/>
      <c r="D12" s="58"/>
      <c r="E12" s="59"/>
      <c r="F12" s="152">
        <f>F8*F10*D8/3600/F4</f>
        <v>2.2222222222222223</v>
      </c>
      <c r="G12" s="153"/>
    </row>
    <row r="14" spans="1:7" x14ac:dyDescent="0.25">
      <c r="B14" s="146"/>
      <c r="C14" s="146"/>
      <c r="D14" s="146"/>
      <c r="E14" s="84"/>
      <c r="F14" s="147"/>
      <c r="G14" s="147"/>
    </row>
    <row r="15" spans="1:7" x14ac:dyDescent="0.25">
      <c r="B15" s="88"/>
      <c r="C15" s="88"/>
      <c r="D15" s="91"/>
      <c r="E15" s="87" t="s">
        <v>142</v>
      </c>
      <c r="F15" s="107" t="s">
        <v>126</v>
      </c>
      <c r="G15" s="108"/>
    </row>
    <row r="16" spans="1:7" x14ac:dyDescent="0.25">
      <c r="A16" t="s">
        <v>36</v>
      </c>
      <c r="B16" s="111" t="str">
        <f>Tabeller!C3</f>
        <v>Tetthetsfaktor for fett (fd)</v>
      </c>
      <c r="C16" s="112"/>
      <c r="D16" s="113"/>
      <c r="E16" s="69" t="s">
        <v>0</v>
      </c>
      <c r="F16" s="119">
        <f>IF(E16=Tabeller!C5,Tabeller!D5,IF(E16=Tabeller!C6,Tabeller!D6,""))</f>
        <v>1</v>
      </c>
      <c r="G16" s="120"/>
    </row>
    <row r="17" spans="1:7" ht="30" x14ac:dyDescent="0.25">
      <c r="A17" t="s">
        <v>35</v>
      </c>
      <c r="B17" s="111" t="str">
        <f>Tabeller!C26&amp;"  (fd)"</f>
        <v>Bruk av vaske-/rengjøringsmidler  (fd)</v>
      </c>
      <c r="C17" s="112"/>
      <c r="D17" s="113"/>
      <c r="E17" s="70" t="s">
        <v>26</v>
      </c>
      <c r="F17" s="119">
        <f>IF(E17=Tabeller!C27,Tabeller!D27,IF(E17=Tabeller!C28,Tabeller!D28,IF(E17=Tabeller!C29,Tabeller!D29,"")))</f>
        <v>1.5</v>
      </c>
      <c r="G17" s="120"/>
    </row>
    <row r="18" spans="1:7" x14ac:dyDescent="0.25">
      <c r="A18" t="s">
        <v>37</v>
      </c>
      <c r="B18" s="111" t="str">
        <f>Tabeller!C20&amp;"  (fr)"</f>
        <v>Temperatur på avløpsvann ved innløp  (fr)</v>
      </c>
      <c r="C18" s="112"/>
      <c r="D18" s="113"/>
      <c r="E18" s="70" t="s">
        <v>125</v>
      </c>
      <c r="F18" s="119">
        <f>IF(E18=Tabeller!C21,Tabeller!D21,Tabeller!D22)</f>
        <v>1</v>
      </c>
      <c r="G18" s="120"/>
    </row>
    <row r="20" spans="1:7" x14ac:dyDescent="0.25">
      <c r="B20" s="81" t="s">
        <v>134</v>
      </c>
    </row>
    <row r="22" spans="1:7" ht="17.25" customHeight="1" x14ac:dyDescent="0.25">
      <c r="B22" s="111" t="s">
        <v>135</v>
      </c>
      <c r="C22" s="112"/>
      <c r="D22" s="112"/>
      <c r="E22" s="113"/>
      <c r="F22" s="148">
        <f>F12*F16*F17*F18</f>
        <v>3.3333333333333335</v>
      </c>
      <c r="G22" s="149"/>
    </row>
  </sheetData>
  <mergeCells count="24">
    <mergeCell ref="F4:G4"/>
    <mergeCell ref="F10:G10"/>
    <mergeCell ref="F9:G9"/>
    <mergeCell ref="F12:G12"/>
    <mergeCell ref="D2:G2"/>
    <mergeCell ref="F7:G7"/>
    <mergeCell ref="F8:G8"/>
    <mergeCell ref="B17:D17"/>
    <mergeCell ref="F17:G17"/>
    <mergeCell ref="B18:D18"/>
    <mergeCell ref="F18:G18"/>
    <mergeCell ref="B22:E22"/>
    <mergeCell ref="F22:G22"/>
    <mergeCell ref="B14:D14"/>
    <mergeCell ref="F14:G14"/>
    <mergeCell ref="F15:G15"/>
    <mergeCell ref="B16:D16"/>
    <mergeCell ref="F16:G16"/>
    <mergeCell ref="B6:C6"/>
    <mergeCell ref="B7:C7"/>
    <mergeCell ref="D7:E7"/>
    <mergeCell ref="B4:D4"/>
    <mergeCell ref="B8:C8"/>
    <mergeCell ref="D8:E8"/>
  </mergeCells>
  <dataValidations count="2">
    <dataValidation type="list" allowBlank="1" showInputMessage="1" showErrorMessage="1" sqref="E5:E6">
      <formula1>"8,10,12"</formula1>
    </dataValidation>
    <dataValidation type="list" allowBlank="1" showInputMessage="1" showErrorMessage="1" sqref="F4:G4">
      <formula1>"8,10,12"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Tabeller!$C$69:$C$71</xm:f>
          </x14:formula1>
          <xm:sqref>B8:C8</xm:sqref>
        </x14:dataValidation>
        <x14:dataValidation type="list" allowBlank="1" showInputMessage="1" showErrorMessage="1">
          <x14:formula1>
            <xm:f>Tabeller!$C$5:$C$6</xm:f>
          </x14:formula1>
          <xm:sqref>E16</xm:sqref>
        </x14:dataValidation>
        <x14:dataValidation type="list" allowBlank="1" showInputMessage="1" showErrorMessage="1">
          <x14:formula1>
            <xm:f>Tabeller!$C$27:$C$29</xm:f>
          </x14:formula1>
          <xm:sqref>E17</xm:sqref>
        </x14:dataValidation>
        <x14:dataValidation type="list" allowBlank="1" showInputMessage="1" showErrorMessage="1">
          <x14:formula1>
            <xm:f>Tabeller!$C$21:$C$22</xm:f>
          </x14:formula1>
          <xm:sqref>E14 E18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opLeftCell="A55" workbookViewId="0">
      <selection activeCell="F14" sqref="F14"/>
    </sheetView>
  </sheetViews>
  <sheetFormatPr defaultRowHeight="15" x14ac:dyDescent="0.25"/>
  <cols>
    <col min="3" max="3" width="30.42578125" customWidth="1"/>
    <col min="4" max="4" width="22" customWidth="1"/>
    <col min="5" max="5" width="19.140625" customWidth="1"/>
    <col min="6" max="6" width="22.42578125" customWidth="1"/>
    <col min="7" max="7" width="14.5703125" customWidth="1"/>
  </cols>
  <sheetData>
    <row r="1" spans="1:4" x14ac:dyDescent="0.25">
      <c r="C1" s="1" t="s">
        <v>94</v>
      </c>
    </row>
    <row r="3" spans="1:4" x14ac:dyDescent="0.25">
      <c r="A3" t="s">
        <v>4</v>
      </c>
      <c r="C3" s="1" t="s">
        <v>123</v>
      </c>
    </row>
    <row r="4" spans="1:4" x14ac:dyDescent="0.25">
      <c r="C4" s="22" t="s">
        <v>2</v>
      </c>
      <c r="D4" s="23" t="s">
        <v>3</v>
      </c>
    </row>
    <row r="5" spans="1:4" x14ac:dyDescent="0.25">
      <c r="C5" s="48" t="s">
        <v>0</v>
      </c>
      <c r="D5" s="49">
        <v>1</v>
      </c>
    </row>
    <row r="6" spans="1:4" x14ac:dyDescent="0.25">
      <c r="C6" s="48" t="s">
        <v>1</v>
      </c>
      <c r="D6" s="49">
        <v>1.5</v>
      </c>
    </row>
    <row r="9" spans="1:4" x14ac:dyDescent="0.25">
      <c r="A9" t="s">
        <v>5</v>
      </c>
      <c r="C9" s="1" t="s">
        <v>6</v>
      </c>
    </row>
    <row r="10" spans="1:4" x14ac:dyDescent="0.25">
      <c r="C10" s="4" t="s">
        <v>7</v>
      </c>
      <c r="D10" s="4" t="s">
        <v>2</v>
      </c>
    </row>
    <row r="11" spans="1:4" x14ac:dyDescent="0.25">
      <c r="C11" s="6" t="s">
        <v>8</v>
      </c>
      <c r="D11" s="33" t="s">
        <v>9</v>
      </c>
    </row>
    <row r="12" spans="1:4" x14ac:dyDescent="0.25">
      <c r="C12" s="6" t="s">
        <v>10</v>
      </c>
      <c r="D12" s="6">
        <v>0.91</v>
      </c>
    </row>
    <row r="13" spans="1:4" x14ac:dyDescent="0.25">
      <c r="C13" s="6" t="s">
        <v>11</v>
      </c>
      <c r="D13" s="33" t="s">
        <v>12</v>
      </c>
    </row>
    <row r="14" spans="1:4" x14ac:dyDescent="0.25">
      <c r="C14" s="6" t="s">
        <v>13</v>
      </c>
      <c r="D14" s="33" t="s">
        <v>14</v>
      </c>
    </row>
    <row r="15" spans="1:4" x14ac:dyDescent="0.25">
      <c r="C15" s="6" t="s">
        <v>15</v>
      </c>
      <c r="D15" s="33" t="s">
        <v>16</v>
      </c>
    </row>
    <row r="16" spans="1:4" x14ac:dyDescent="0.25">
      <c r="C16" s="6" t="s">
        <v>17</v>
      </c>
      <c r="D16" s="33" t="s">
        <v>18</v>
      </c>
    </row>
    <row r="19" spans="1:4" ht="18" x14ac:dyDescent="0.35">
      <c r="A19" t="s">
        <v>19</v>
      </c>
      <c r="C19" s="1" t="s">
        <v>120</v>
      </c>
    </row>
    <row r="20" spans="1:4" ht="30" x14ac:dyDescent="0.25">
      <c r="C20" s="35" t="s">
        <v>21</v>
      </c>
      <c r="D20" s="4" t="s">
        <v>20</v>
      </c>
    </row>
    <row r="21" spans="1:4" ht="17.25" x14ac:dyDescent="0.25">
      <c r="C21" s="6" t="s">
        <v>125</v>
      </c>
      <c r="D21" s="47">
        <v>1</v>
      </c>
    </row>
    <row r="22" spans="1:4" ht="17.25" x14ac:dyDescent="0.25">
      <c r="C22" s="6" t="s">
        <v>124</v>
      </c>
      <c r="D22" s="48">
        <v>1.3</v>
      </c>
    </row>
    <row r="25" spans="1:4" ht="18" x14ac:dyDescent="0.35">
      <c r="A25" t="s">
        <v>22</v>
      </c>
      <c r="C25" s="1" t="s">
        <v>121</v>
      </c>
    </row>
    <row r="26" spans="1:4" ht="31.5" x14ac:dyDescent="0.35">
      <c r="C26" s="35" t="s">
        <v>23</v>
      </c>
      <c r="D26" s="35" t="s">
        <v>122</v>
      </c>
    </row>
    <row r="27" spans="1:4" x14ac:dyDescent="0.25">
      <c r="C27" s="6" t="s">
        <v>24</v>
      </c>
      <c r="D27" s="47">
        <v>1</v>
      </c>
    </row>
    <row r="28" spans="1:4" x14ac:dyDescent="0.25">
      <c r="C28" s="6" t="s">
        <v>25</v>
      </c>
      <c r="D28" s="48">
        <v>1.3</v>
      </c>
    </row>
    <row r="29" spans="1:4" x14ac:dyDescent="0.25">
      <c r="C29" s="6" t="s">
        <v>26</v>
      </c>
      <c r="D29" s="48">
        <v>1.5</v>
      </c>
    </row>
    <row r="31" spans="1:4" x14ac:dyDescent="0.25">
      <c r="A31" s="1" t="s">
        <v>92</v>
      </c>
    </row>
    <row r="32" spans="1:4" x14ac:dyDescent="0.25">
      <c r="A32" t="s">
        <v>27</v>
      </c>
      <c r="C32" s="1" t="s">
        <v>85</v>
      </c>
    </row>
    <row r="33" spans="2:9" x14ac:dyDescent="0.25">
      <c r="C33" s="31" t="s">
        <v>39</v>
      </c>
      <c r="D33" s="32" t="s">
        <v>40</v>
      </c>
      <c r="E33" s="156" t="s">
        <v>41</v>
      </c>
      <c r="F33" s="156"/>
      <c r="G33" s="156"/>
      <c r="H33" s="156"/>
      <c r="I33" s="156"/>
    </row>
    <row r="34" spans="2:9" x14ac:dyDescent="0.25">
      <c r="C34" s="16" t="s">
        <v>42</v>
      </c>
      <c r="D34" s="22" t="s">
        <v>38</v>
      </c>
      <c r="E34" s="22" t="s">
        <v>43</v>
      </c>
      <c r="F34" s="22" t="s">
        <v>44</v>
      </c>
      <c r="G34" s="22" t="s">
        <v>50</v>
      </c>
      <c r="H34" s="23" t="s">
        <v>51</v>
      </c>
      <c r="I34" s="22" t="s">
        <v>45</v>
      </c>
    </row>
    <row r="35" spans="2:9" x14ac:dyDescent="0.25">
      <c r="B35" s="3" t="s">
        <v>46</v>
      </c>
      <c r="C35" s="17" t="s">
        <v>47</v>
      </c>
      <c r="D35" s="38"/>
      <c r="E35" s="38">
        <v>0.45</v>
      </c>
      <c r="F35" s="38">
        <v>0.31</v>
      </c>
      <c r="G35" s="38">
        <v>0.25</v>
      </c>
      <c r="H35" s="38">
        <v>0.21</v>
      </c>
      <c r="I35" s="39">
        <v>0.2</v>
      </c>
    </row>
    <row r="36" spans="2:9" x14ac:dyDescent="0.25">
      <c r="B36" s="3"/>
      <c r="C36" s="18" t="s">
        <v>48</v>
      </c>
      <c r="D36" s="40">
        <v>1</v>
      </c>
      <c r="E36" s="40"/>
      <c r="F36" s="40"/>
      <c r="G36" s="40"/>
      <c r="H36" s="40"/>
      <c r="I36" s="41"/>
    </row>
    <row r="37" spans="2:9" x14ac:dyDescent="0.25">
      <c r="B37" s="3"/>
      <c r="C37" s="19" t="s">
        <v>49</v>
      </c>
      <c r="D37" s="42">
        <v>2</v>
      </c>
      <c r="E37" s="42"/>
      <c r="F37" s="42"/>
      <c r="G37" s="42"/>
      <c r="H37" s="42"/>
      <c r="I37" s="43"/>
    </row>
    <row r="38" spans="2:9" x14ac:dyDescent="0.25">
      <c r="B38" s="3" t="s">
        <v>52</v>
      </c>
      <c r="C38" s="17" t="s">
        <v>53</v>
      </c>
      <c r="D38" s="38"/>
      <c r="E38" s="38">
        <v>0.45</v>
      </c>
      <c r="F38" s="38">
        <v>0.31</v>
      </c>
      <c r="G38" s="38">
        <v>0.25</v>
      </c>
      <c r="H38" s="38">
        <v>0.21</v>
      </c>
      <c r="I38" s="39">
        <v>0.2</v>
      </c>
    </row>
    <row r="39" spans="2:9" x14ac:dyDescent="0.25">
      <c r="B39" s="3"/>
      <c r="C39" s="20" t="s">
        <v>54</v>
      </c>
      <c r="D39" s="40">
        <v>1</v>
      </c>
      <c r="E39" s="40"/>
      <c r="F39" s="40"/>
      <c r="G39" s="40"/>
      <c r="H39" s="40"/>
      <c r="I39" s="41"/>
    </row>
    <row r="40" spans="2:9" x14ac:dyDescent="0.25">
      <c r="B40" s="3"/>
      <c r="C40" s="21" t="s">
        <v>55</v>
      </c>
      <c r="D40" s="42">
        <v>3</v>
      </c>
      <c r="E40" s="42"/>
      <c r="F40" s="42"/>
      <c r="G40" s="42"/>
      <c r="H40" s="42"/>
      <c r="I40" s="43"/>
    </row>
    <row r="41" spans="2:9" x14ac:dyDescent="0.25">
      <c r="B41" s="3" t="s">
        <v>56</v>
      </c>
      <c r="C41" s="17" t="s">
        <v>57</v>
      </c>
      <c r="D41" s="38"/>
      <c r="E41" s="38">
        <v>0.45</v>
      </c>
      <c r="F41" s="38">
        <v>0.31</v>
      </c>
      <c r="G41" s="38">
        <v>0.25</v>
      </c>
      <c r="H41" s="38">
        <v>0.21</v>
      </c>
      <c r="I41" s="39">
        <v>0.2</v>
      </c>
    </row>
    <row r="42" spans="2:9" x14ac:dyDescent="0.25">
      <c r="B42" s="3"/>
      <c r="C42" s="18" t="s">
        <v>58</v>
      </c>
      <c r="D42" s="40">
        <v>0.8</v>
      </c>
      <c r="E42" s="40"/>
      <c r="F42" s="40"/>
      <c r="G42" s="40"/>
      <c r="H42" s="40"/>
      <c r="I42" s="41"/>
    </row>
    <row r="43" spans="2:9" x14ac:dyDescent="0.25">
      <c r="B43" s="3"/>
      <c r="C43" s="18" t="s">
        <v>59</v>
      </c>
      <c r="D43" s="40">
        <v>1.5</v>
      </c>
      <c r="E43" s="40"/>
      <c r="F43" s="40"/>
      <c r="G43" s="40"/>
      <c r="H43" s="40"/>
      <c r="I43" s="41"/>
    </row>
    <row r="44" spans="2:9" x14ac:dyDescent="0.25">
      <c r="B44" s="3"/>
      <c r="C44" s="18" t="s">
        <v>60</v>
      </c>
      <c r="D44" s="40">
        <v>2.5</v>
      </c>
      <c r="E44" s="40"/>
      <c r="F44" s="40"/>
      <c r="G44" s="40"/>
      <c r="H44" s="40"/>
      <c r="I44" s="41"/>
    </row>
    <row r="45" spans="2:9" x14ac:dyDescent="0.25">
      <c r="B45" s="3"/>
      <c r="C45" s="19" t="s">
        <v>61</v>
      </c>
      <c r="D45" s="42">
        <v>4</v>
      </c>
      <c r="E45" s="42"/>
      <c r="F45" s="42"/>
      <c r="G45" s="42"/>
      <c r="H45" s="42"/>
      <c r="I45" s="43"/>
    </row>
    <row r="46" spans="2:9" x14ac:dyDescent="0.25">
      <c r="B46" s="3">
        <v>4</v>
      </c>
      <c r="C46" s="17" t="s">
        <v>62</v>
      </c>
      <c r="D46" s="38"/>
      <c r="E46" s="38">
        <v>0.45</v>
      </c>
      <c r="F46" s="38">
        <v>0.31</v>
      </c>
      <c r="G46" s="38">
        <v>0.25</v>
      </c>
      <c r="H46" s="38">
        <v>0.21</v>
      </c>
      <c r="I46" s="39">
        <v>0.2</v>
      </c>
    </row>
    <row r="47" spans="2:9" x14ac:dyDescent="0.25">
      <c r="B47" s="3"/>
      <c r="C47" s="18" t="s">
        <v>63</v>
      </c>
      <c r="D47" s="40">
        <v>1</v>
      </c>
      <c r="E47" s="40"/>
      <c r="F47" s="40"/>
      <c r="G47" s="40"/>
      <c r="H47" s="40"/>
      <c r="I47" s="41"/>
    </row>
    <row r="48" spans="2:9" x14ac:dyDescent="0.25">
      <c r="B48" s="3"/>
      <c r="C48" s="19" t="s">
        <v>64</v>
      </c>
      <c r="D48" s="42">
        <v>0.1</v>
      </c>
      <c r="E48" s="42"/>
      <c r="F48" s="42"/>
      <c r="G48" s="42"/>
      <c r="H48" s="42"/>
      <c r="I48" s="43"/>
    </row>
    <row r="49" spans="1:9" x14ac:dyDescent="0.25">
      <c r="B49">
        <v>5</v>
      </c>
      <c r="C49" s="4" t="s">
        <v>65</v>
      </c>
      <c r="D49" s="44">
        <v>2</v>
      </c>
      <c r="E49" s="45">
        <v>0.45</v>
      </c>
      <c r="F49" s="45">
        <v>0.31</v>
      </c>
      <c r="G49" s="45">
        <v>0.25</v>
      </c>
      <c r="H49" s="45">
        <v>0.21</v>
      </c>
      <c r="I49" s="46">
        <v>0.2</v>
      </c>
    </row>
    <row r="50" spans="1:9" x14ac:dyDescent="0.25">
      <c r="B50">
        <v>6</v>
      </c>
      <c r="C50" s="4" t="s">
        <v>66</v>
      </c>
      <c r="D50" s="44">
        <v>1.5</v>
      </c>
      <c r="E50" s="45">
        <v>0.45</v>
      </c>
      <c r="F50" s="45">
        <v>0.31</v>
      </c>
      <c r="G50" s="45">
        <v>0.25</v>
      </c>
      <c r="H50" s="45">
        <v>0.21</v>
      </c>
      <c r="I50" s="46">
        <v>0.2</v>
      </c>
    </row>
    <row r="51" spans="1:9" x14ac:dyDescent="0.25">
      <c r="B51" s="3">
        <v>7</v>
      </c>
      <c r="C51" s="4" t="s">
        <v>67</v>
      </c>
      <c r="D51" s="44">
        <v>2</v>
      </c>
      <c r="E51" s="45">
        <v>0.45</v>
      </c>
      <c r="F51" s="45">
        <v>0.31</v>
      </c>
      <c r="G51" s="45">
        <v>0.25</v>
      </c>
      <c r="H51" s="45">
        <v>0.21</v>
      </c>
      <c r="I51" s="46">
        <v>0.2</v>
      </c>
    </row>
    <row r="52" spans="1:9" x14ac:dyDescent="0.25">
      <c r="B52" s="3">
        <v>8</v>
      </c>
      <c r="C52" s="17" t="s">
        <v>68</v>
      </c>
      <c r="D52" s="38"/>
      <c r="E52" s="38">
        <v>0.45</v>
      </c>
      <c r="F52" s="38">
        <v>0.31</v>
      </c>
      <c r="G52" s="38">
        <v>0.25</v>
      </c>
      <c r="H52" s="38">
        <v>0.21</v>
      </c>
      <c r="I52" s="39">
        <v>0.2</v>
      </c>
    </row>
    <row r="53" spans="1:9" x14ac:dyDescent="0.25">
      <c r="C53" s="18" t="s">
        <v>69</v>
      </c>
      <c r="D53" s="40">
        <v>0.5</v>
      </c>
      <c r="E53" s="40"/>
      <c r="F53" s="40"/>
      <c r="G53" s="40"/>
      <c r="H53" s="40"/>
      <c r="I53" s="41"/>
    </row>
    <row r="54" spans="1:9" x14ac:dyDescent="0.25">
      <c r="C54" s="18" t="s">
        <v>70</v>
      </c>
      <c r="D54" s="40">
        <v>1</v>
      </c>
      <c r="E54" s="40"/>
      <c r="F54" s="40"/>
      <c r="G54" s="40"/>
      <c r="H54" s="40"/>
      <c r="I54" s="41"/>
    </row>
    <row r="55" spans="1:9" x14ac:dyDescent="0.25">
      <c r="C55" s="19" t="s">
        <v>71</v>
      </c>
      <c r="D55" s="42">
        <v>1.7</v>
      </c>
      <c r="E55" s="42"/>
      <c r="F55" s="42"/>
      <c r="G55" s="42"/>
      <c r="H55" s="42"/>
      <c r="I55" s="43"/>
    </row>
    <row r="56" spans="1:9" x14ac:dyDescent="0.25">
      <c r="B56">
        <v>9</v>
      </c>
      <c r="C56" s="4" t="s">
        <v>72</v>
      </c>
      <c r="D56" s="44">
        <v>2</v>
      </c>
      <c r="E56" s="45">
        <v>0.6</v>
      </c>
      <c r="F56" s="45">
        <v>0.45</v>
      </c>
      <c r="G56" s="45">
        <v>0.4</v>
      </c>
      <c r="H56" s="45">
        <v>0.34</v>
      </c>
      <c r="I56" s="46">
        <v>0.3</v>
      </c>
    </row>
    <row r="57" spans="1:9" x14ac:dyDescent="0.25">
      <c r="C57" s="29"/>
      <c r="D57" s="13"/>
      <c r="E57" s="12"/>
      <c r="F57" s="12"/>
      <c r="G57" s="12"/>
      <c r="H57" s="12"/>
      <c r="I57" s="12"/>
    </row>
    <row r="58" spans="1:9" x14ac:dyDescent="0.25">
      <c r="A58" t="s">
        <v>73</v>
      </c>
      <c r="C58" s="30" t="s">
        <v>83</v>
      </c>
    </row>
    <row r="59" spans="1:9" x14ac:dyDescent="0.25">
      <c r="C59" s="57" t="s">
        <v>74</v>
      </c>
      <c r="D59" s="32" t="s">
        <v>75</v>
      </c>
      <c r="E59" s="60" t="s">
        <v>76</v>
      </c>
    </row>
    <row r="60" spans="1:9" x14ac:dyDescent="0.25">
      <c r="C60" s="17" t="s">
        <v>77</v>
      </c>
      <c r="D60" s="24">
        <v>5</v>
      </c>
      <c r="E60" s="11">
        <v>100</v>
      </c>
    </row>
    <row r="61" spans="1:9" x14ac:dyDescent="0.25">
      <c r="C61" s="18" t="s">
        <v>78</v>
      </c>
      <c r="D61" s="25">
        <v>8.5</v>
      </c>
      <c r="E61" s="26">
        <v>50</v>
      </c>
    </row>
    <row r="62" spans="1:9" x14ac:dyDescent="0.25">
      <c r="C62" s="18" t="s">
        <v>79</v>
      </c>
      <c r="D62" s="25">
        <v>13</v>
      </c>
      <c r="E62" s="26">
        <v>20</v>
      </c>
    </row>
    <row r="63" spans="1:9" x14ac:dyDescent="0.25">
      <c r="C63" s="18" t="s">
        <v>80</v>
      </c>
      <c r="D63" s="25">
        <v>20</v>
      </c>
      <c r="E63" s="26">
        <v>5</v>
      </c>
    </row>
    <row r="64" spans="1:9" x14ac:dyDescent="0.25">
      <c r="C64" s="19" t="s">
        <v>81</v>
      </c>
      <c r="D64" s="27">
        <v>22</v>
      </c>
      <c r="E64" s="28">
        <v>10</v>
      </c>
    </row>
    <row r="65" spans="1:5" x14ac:dyDescent="0.25">
      <c r="C65" s="13"/>
      <c r="D65" s="36"/>
      <c r="E65" s="36"/>
    </row>
    <row r="66" spans="1:5" x14ac:dyDescent="0.25">
      <c r="A66" s="1" t="s">
        <v>93</v>
      </c>
    </row>
    <row r="67" spans="1:5" x14ac:dyDescent="0.25">
      <c r="A67" t="s">
        <v>82</v>
      </c>
      <c r="C67" s="30" t="s">
        <v>84</v>
      </c>
    </row>
    <row r="68" spans="1:5" ht="45" x14ac:dyDescent="0.25">
      <c r="C68" s="31" t="s">
        <v>86</v>
      </c>
      <c r="D68" s="31" t="s">
        <v>90</v>
      </c>
      <c r="E68" s="74" t="s">
        <v>91</v>
      </c>
    </row>
    <row r="69" spans="1:5" x14ac:dyDescent="0.25">
      <c r="C69" s="4" t="s">
        <v>87</v>
      </c>
      <c r="D69" s="47">
        <v>30</v>
      </c>
      <c r="E69" s="47">
        <v>20</v>
      </c>
    </row>
    <row r="70" spans="1:5" x14ac:dyDescent="0.25">
      <c r="C70" s="4" t="s">
        <v>88</v>
      </c>
      <c r="D70" s="47">
        <v>35</v>
      </c>
      <c r="E70" s="47">
        <v>15</v>
      </c>
    </row>
    <row r="71" spans="1:5" x14ac:dyDescent="0.25">
      <c r="C71" s="4" t="s">
        <v>89</v>
      </c>
      <c r="D71" s="47">
        <v>40</v>
      </c>
      <c r="E71" s="47">
        <v>10</v>
      </c>
    </row>
  </sheetData>
  <mergeCells count="1">
    <mergeCell ref="E33:I33"/>
  </mergeCells>
  <printOptions headings="1" gridLines="1"/>
  <pageMargins left="0.70866141732283472" right="0.70866141732283472" top="0.74803149606299213" bottom="0.74803149606299213" header="0.31496062992125984" footer="0.31496062992125984"/>
  <pageSetup paperSize="9" scale="88" fitToHeight="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workbookViewId="0">
      <selection activeCell="D14" sqref="D14"/>
    </sheetView>
  </sheetViews>
  <sheetFormatPr defaultRowHeight="15" x14ac:dyDescent="0.25"/>
  <sheetData>
    <row r="2" spans="2:9" x14ac:dyDescent="0.25">
      <c r="B2" t="s">
        <v>99</v>
      </c>
    </row>
    <row r="4" spans="2:9" ht="18.75" x14ac:dyDescent="0.25">
      <c r="B4" s="51" t="s">
        <v>98</v>
      </c>
      <c r="C4" s="52"/>
      <c r="D4" s="52"/>
      <c r="E4" s="52"/>
      <c r="F4" s="52"/>
      <c r="G4" s="52"/>
      <c r="H4" s="52"/>
      <c r="I4" s="52"/>
    </row>
    <row r="6" spans="2:9" ht="18.75" x14ac:dyDescent="0.25">
      <c r="B6" s="51" t="s">
        <v>100</v>
      </c>
      <c r="C6" s="52"/>
      <c r="D6" s="52"/>
      <c r="E6" s="52"/>
      <c r="F6" s="52"/>
      <c r="G6" s="52"/>
      <c r="H6" s="52"/>
      <c r="I6" s="52"/>
    </row>
    <row r="7" spans="2:9" x14ac:dyDescent="0.25">
      <c r="C7" s="5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workbookViewId="0">
      <selection activeCell="E3" sqref="E3:E8"/>
    </sheetView>
  </sheetViews>
  <sheetFormatPr defaultRowHeight="15" x14ac:dyDescent="0.25"/>
  <cols>
    <col min="3" max="3" width="10.140625" bestFit="1" customWidth="1"/>
  </cols>
  <sheetData>
    <row r="2" spans="2:6" x14ac:dyDescent="0.25">
      <c r="B2" t="s">
        <v>104</v>
      </c>
      <c r="D2">
        <f>SUM(D3:D30)</f>
        <v>14</v>
      </c>
      <c r="E2">
        <v>350</v>
      </c>
      <c r="F2">
        <f>D2*E2</f>
        <v>4900</v>
      </c>
    </row>
    <row r="3" spans="2:6" x14ac:dyDescent="0.25">
      <c r="B3" t="s">
        <v>101</v>
      </c>
      <c r="C3" s="55">
        <v>43647</v>
      </c>
      <c r="D3">
        <v>3</v>
      </c>
      <c r="E3" s="10" t="s">
        <v>102</v>
      </c>
    </row>
    <row r="4" spans="2:6" x14ac:dyDescent="0.25">
      <c r="B4" t="s">
        <v>103</v>
      </c>
      <c r="C4" s="55">
        <v>43649</v>
      </c>
      <c r="D4">
        <v>2</v>
      </c>
      <c r="E4" s="10" t="s">
        <v>102</v>
      </c>
    </row>
    <row r="5" spans="2:6" x14ac:dyDescent="0.25">
      <c r="C5" s="55">
        <v>43650</v>
      </c>
      <c r="D5">
        <v>2</v>
      </c>
      <c r="E5" s="10" t="s">
        <v>102</v>
      </c>
    </row>
    <row r="6" spans="2:6" x14ac:dyDescent="0.25">
      <c r="C6" s="55">
        <v>43651</v>
      </c>
      <c r="D6">
        <v>3</v>
      </c>
      <c r="E6" s="10" t="s">
        <v>102</v>
      </c>
    </row>
    <row r="7" spans="2:6" x14ac:dyDescent="0.25">
      <c r="C7" s="55">
        <v>43652</v>
      </c>
      <c r="D7">
        <v>2</v>
      </c>
      <c r="E7" s="10" t="s">
        <v>102</v>
      </c>
    </row>
    <row r="8" spans="2:6" x14ac:dyDescent="0.25">
      <c r="C8" s="55">
        <v>43653</v>
      </c>
      <c r="D8">
        <v>2</v>
      </c>
      <c r="E8" s="10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Forside</vt:lpstr>
      <vt:lpstr>Metode 2</vt:lpstr>
      <vt:lpstr>Metode 3</vt:lpstr>
      <vt:lpstr>Metode 4</vt:lpstr>
      <vt:lpstr>Tabeller</vt:lpstr>
      <vt:lpstr>Formler</vt:lpstr>
      <vt:lpstr>Timeforbruk</vt:lpstr>
      <vt:lpstr>'Metode 2'!Print_Area</vt:lpstr>
      <vt:lpstr>'Metode 3'!Print_Area</vt:lpstr>
      <vt:lpstr>'Metode 4'!Print_Area</vt:lpstr>
      <vt:lpstr>Tabeller!Print_Area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Gilje</dc:creator>
  <cp:lastModifiedBy>Knut Gilje</cp:lastModifiedBy>
  <cp:lastPrinted>2019-07-09T10:36:20Z</cp:lastPrinted>
  <dcterms:created xsi:type="dcterms:W3CDTF">2019-07-01T12:12:06Z</dcterms:created>
  <dcterms:modified xsi:type="dcterms:W3CDTF">2019-07-31T10:27:15Z</dcterms:modified>
</cp:coreProperties>
</file>