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ALG OG MARKED\Produktinformasjon\Utskillere FDV og tegninger\Fettutskiller dokumenter\"/>
    </mc:Choice>
  </mc:AlternateContent>
  <xr:revisionPtr revIDLastSave="0" documentId="13_ncr:1_{17D84A70-0635-4B02-AF43-F0EF53A8AA42}" xr6:coauthVersionLast="36" xr6:coauthVersionMax="36" xr10:uidLastSave="{00000000-0000-0000-0000-000000000000}"/>
  <workbookProtection workbookPassword="C5A6" lockStructure="1"/>
  <bookViews>
    <workbookView xWindow="0" yWindow="0" windowWidth="13800" windowHeight="4452" xr2:uid="{00000000-000D-0000-FFFF-FFFF00000000}"/>
  </bookViews>
  <sheets>
    <sheet name="Forside" sheetId="7" r:id="rId1"/>
    <sheet name="Metode 1" sheetId="8" r:id="rId2"/>
    <sheet name="Metode 2" sheetId="1" r:id="rId3"/>
    <sheet name="Metode 3" sheetId="3" r:id="rId4"/>
    <sheet name="Metode 4" sheetId="6" r:id="rId5"/>
    <sheet name="Tabeller" sheetId="2" state="hidden" r:id="rId6"/>
  </sheets>
  <definedNames>
    <definedName name="_10_15" comment="10-15">Tabeller!$C$78</definedName>
    <definedName name="_2_4" comment="2-4">Tabeller!$C$75</definedName>
    <definedName name="_4_7" comment="4-7">Tabeller!$C$76</definedName>
    <definedName name="_7_10" comment="7-10">Tabeller!$C$77</definedName>
    <definedName name="NS_10_15">Tabeller!#REF!</definedName>
    <definedName name="NS_2_4">Tabeller!$C$75</definedName>
    <definedName name="NS_4_7">Tabeller!#REF!</definedName>
    <definedName name="NS_7_10">Tabeller!#REF!</definedName>
    <definedName name="_xlnm.Print_Area" localSheetId="1">'Metode 1'!$B$1:$G$90</definedName>
    <definedName name="_xlnm.Print_Area" localSheetId="2">'Metode 2'!$B$1:$G$78</definedName>
    <definedName name="_xlnm.Print_Area" localSheetId="3">'Metode 3'!$B$1:$H$94</definedName>
    <definedName name="_xlnm.Print_Area" localSheetId="4">'Metode 4'!$B$1:$G$86</definedName>
    <definedName name="_xlnm.Print_Area" localSheetId="5">Tabeller!$A$1:$I$77</definedName>
  </definedNames>
  <calcPr calcId="191029"/>
</workbook>
</file>

<file path=xl/calcChain.xml><?xml version="1.0" encoding="utf-8"?>
<calcChain xmlns="http://schemas.openxmlformats.org/spreadsheetml/2006/main">
  <c r="E19" i="1" l="1"/>
  <c r="E12" i="1"/>
  <c r="F19" i="3" l="1"/>
  <c r="F20" i="3"/>
  <c r="E90" i="3" l="1"/>
  <c r="E88" i="3"/>
  <c r="E86" i="3"/>
  <c r="F75" i="6" l="1"/>
  <c r="F74" i="6"/>
  <c r="F74" i="3"/>
  <c r="F73" i="3"/>
  <c r="F68" i="1"/>
  <c r="F67" i="1"/>
  <c r="F76" i="8"/>
  <c r="F75" i="8"/>
  <c r="J24" i="8" l="1"/>
  <c r="J25" i="8"/>
  <c r="J26" i="8"/>
  <c r="F79" i="6"/>
  <c r="F78" i="3"/>
  <c r="F72" i="1"/>
  <c r="F70" i="3"/>
  <c r="F64" i="1"/>
  <c r="F72" i="3"/>
  <c r="F71" i="3"/>
  <c r="C85" i="6" l="1"/>
  <c r="F73" i="6"/>
  <c r="F72" i="6"/>
  <c r="F71" i="6"/>
  <c r="F66" i="1"/>
  <c r="F65" i="1"/>
  <c r="F72" i="8" l="1"/>
  <c r="F81" i="8"/>
  <c r="F73" i="8"/>
  <c r="F74" i="8"/>
  <c r="B26" i="6" l="1"/>
  <c r="B25" i="6"/>
  <c r="C87" i="8" l="1"/>
  <c r="F22" i="8"/>
  <c r="F29" i="3" l="1"/>
  <c r="F21" i="8" l="1"/>
  <c r="F20" i="8"/>
  <c r="F68" i="8" s="1"/>
  <c r="F25" i="1"/>
  <c r="F26" i="1"/>
  <c r="F24" i="1"/>
  <c r="B22" i="8"/>
  <c r="B20" i="8"/>
  <c r="B21" i="8"/>
  <c r="J23" i="8"/>
  <c r="J22" i="8"/>
  <c r="J21" i="8"/>
  <c r="J25" i="3"/>
  <c r="I29" i="1"/>
  <c r="I28" i="1"/>
  <c r="I27" i="1"/>
  <c r="I26" i="1"/>
  <c r="I25" i="1"/>
  <c r="I24" i="1"/>
  <c r="F26" i="8" l="1"/>
  <c r="F35" i="8" l="1"/>
  <c r="F18" i="6"/>
  <c r="C77" i="1" l="1"/>
  <c r="B26" i="1" l="1"/>
  <c r="B25" i="1"/>
  <c r="F26" i="6"/>
  <c r="F25" i="6"/>
  <c r="F24" i="6"/>
  <c r="B24" i="6"/>
  <c r="F16" i="6"/>
  <c r="D16" i="6"/>
  <c r="F15" i="6"/>
  <c r="J29" i="1"/>
  <c r="J28" i="1"/>
  <c r="J27" i="1"/>
  <c r="J26" i="1"/>
  <c r="J25" i="1"/>
  <c r="J24" i="1"/>
  <c r="J23" i="1"/>
  <c r="I23" i="1"/>
  <c r="B24" i="1"/>
  <c r="F13" i="1"/>
  <c r="F14" i="1"/>
  <c r="F12" i="1"/>
  <c r="F20" i="6" l="1"/>
  <c r="F31" i="6" s="1"/>
  <c r="F67" i="6" s="1"/>
  <c r="F39" i="6" l="1"/>
  <c r="F27" i="3"/>
  <c r="I25" i="3"/>
  <c r="I26" i="3"/>
  <c r="J26" i="3"/>
  <c r="I27" i="3"/>
  <c r="J27" i="3"/>
  <c r="I28" i="3"/>
  <c r="J28" i="3"/>
  <c r="I29" i="3"/>
  <c r="J29" i="3"/>
  <c r="I30" i="3"/>
  <c r="J30" i="3"/>
  <c r="J24" i="3"/>
  <c r="I24" i="3"/>
  <c r="I23" i="3"/>
  <c r="F25" i="3"/>
  <c r="F24" i="3"/>
  <c r="E24" i="3"/>
  <c r="B25" i="3"/>
  <c r="F20" i="1"/>
  <c r="F19" i="1"/>
  <c r="F18" i="1"/>
  <c r="F17" i="1"/>
  <c r="E20" i="1"/>
  <c r="E18" i="1"/>
  <c r="E17" i="1"/>
  <c r="F15" i="1"/>
  <c r="F16" i="1"/>
  <c r="E16" i="1"/>
  <c r="E15" i="1"/>
  <c r="B12" i="1"/>
  <c r="B13" i="1"/>
  <c r="E13" i="1" s="1"/>
  <c r="G13" i="1" s="1"/>
  <c r="B14" i="1"/>
  <c r="E14" i="1" s="1"/>
  <c r="G14" i="1" s="1"/>
  <c r="F23" i="3" l="1"/>
  <c r="F30" i="3" s="1"/>
  <c r="G16" i="1"/>
  <c r="G17" i="1"/>
  <c r="G15" i="1"/>
  <c r="G18" i="1"/>
  <c r="G19" i="1"/>
  <c r="G20" i="1"/>
  <c r="F37" i="3" l="1"/>
  <c r="F66" i="3"/>
  <c r="G12" i="1"/>
  <c r="G21" i="1" s="1"/>
  <c r="F60" i="1" l="1"/>
  <c r="F28" i="1"/>
  <c r="F35" i="1" s="1"/>
</calcChain>
</file>

<file path=xl/sharedStrings.xml><?xml version="1.0" encoding="utf-8"?>
<sst xmlns="http://schemas.openxmlformats.org/spreadsheetml/2006/main" count="294" uniqueCount="194">
  <si>
    <t>&lt; 0,94</t>
  </si>
  <si>
    <t>&gt; 0,94</t>
  </si>
  <si>
    <t>Tetthet (g/cm3)</t>
  </si>
  <si>
    <t>Tetthetsfaktor (fd)</t>
  </si>
  <si>
    <t>Tabell 1</t>
  </si>
  <si>
    <t>Tabell 2</t>
  </si>
  <si>
    <t>Tetthet (egenvekt ) fett og oljer</t>
  </si>
  <si>
    <t>Produkt</t>
  </si>
  <si>
    <t xml:space="preserve">Animalsk fett </t>
  </si>
  <si>
    <t>0,85 -0,94</t>
  </si>
  <si>
    <t>Smørfett / olivenolje</t>
  </si>
  <si>
    <t>Kokosolje / maisolje</t>
  </si>
  <si>
    <t>0,92 - 0,93</t>
  </si>
  <si>
    <t>Fiskeolje</t>
  </si>
  <si>
    <t>0,89 - 0,94</t>
  </si>
  <si>
    <t>Palmeolje / rapsolje</t>
  </si>
  <si>
    <t>0,91 - 0,92</t>
  </si>
  <si>
    <t>Vegetabilsk olje</t>
  </si>
  <si>
    <t>0,95 - 0,97</t>
  </si>
  <si>
    <t>Tabell 3.</t>
  </si>
  <si>
    <t>Temperaturfaktor (ft)</t>
  </si>
  <si>
    <t>Temperatur på avløpsvann ved innløp</t>
  </si>
  <si>
    <t>Tabell 4</t>
  </si>
  <si>
    <t>Bruk av vaske-/rengjøringsmidler</t>
  </si>
  <si>
    <t>Anvendes aldri</t>
  </si>
  <si>
    <t>Anvendes iblandt eller alltid</t>
  </si>
  <si>
    <t>Ved større forbruk, eks. Sykehus</t>
  </si>
  <si>
    <t>Tabell 5</t>
  </si>
  <si>
    <t>Maks vannføring for resturant kjøkken med utstyr som beskrevet</t>
  </si>
  <si>
    <t>Utstyr</t>
  </si>
  <si>
    <t>Antall (stk)</t>
  </si>
  <si>
    <t>Samtidighetsfaktor (zn)</t>
  </si>
  <si>
    <t>Sum (Qs) (l/s)</t>
  </si>
  <si>
    <t>Maks. Vannføring (Qs)</t>
  </si>
  <si>
    <t>ft</t>
  </si>
  <si>
    <t>fd</t>
  </si>
  <si>
    <t>fr</t>
  </si>
  <si>
    <t>l/s</t>
  </si>
  <si>
    <t>Type</t>
  </si>
  <si>
    <t>q</t>
  </si>
  <si>
    <t>Samtidighetsfaktor for antall enheter (Zg)</t>
  </si>
  <si>
    <t>Kjøkkenutstyr</t>
  </si>
  <si>
    <t>n=1</t>
  </si>
  <si>
    <t>n=2</t>
  </si>
  <si>
    <t>n&gt;5</t>
  </si>
  <si>
    <t>1.</t>
  </si>
  <si>
    <t>Kokegryte</t>
  </si>
  <si>
    <t>25 mm utløp</t>
  </si>
  <si>
    <t>50 mm utløp</t>
  </si>
  <si>
    <t xml:space="preserve">n=3 </t>
  </si>
  <si>
    <t>n=4</t>
  </si>
  <si>
    <t>2.</t>
  </si>
  <si>
    <t>Tippbar gryte</t>
  </si>
  <si>
    <t>70 mm utløp</t>
  </si>
  <si>
    <t>100 mm utløp</t>
  </si>
  <si>
    <t>3.</t>
  </si>
  <si>
    <t>Spylekasse/oppvaskbenk</t>
  </si>
  <si>
    <t>Utløp med vannlås ø 40mm</t>
  </si>
  <si>
    <t>Utløp med vannlås ø 50mm</t>
  </si>
  <si>
    <t>Utløp uten vannlås ø 40mm</t>
  </si>
  <si>
    <t>Utløp uten vannlås ø 50mm</t>
  </si>
  <si>
    <t>Stekebord</t>
  </si>
  <si>
    <t>Tippbart</t>
  </si>
  <si>
    <t>Fast</t>
  </si>
  <si>
    <t>Høytrykksvask/dampvask</t>
  </si>
  <si>
    <t>Skrape</t>
  </si>
  <si>
    <t>Grønnsakskyller</t>
  </si>
  <si>
    <t>DN 15 mm</t>
  </si>
  <si>
    <t>DN 20 mm</t>
  </si>
  <si>
    <t>DN 25 mm</t>
  </si>
  <si>
    <t>Oppvaskmaskin</t>
  </si>
  <si>
    <t>Tabell 6</t>
  </si>
  <si>
    <t>Type kjøkken</t>
  </si>
  <si>
    <t>F</t>
  </si>
  <si>
    <t>Vm (l)</t>
  </si>
  <si>
    <t>Hotell</t>
  </si>
  <si>
    <t>Resturant</t>
  </si>
  <si>
    <t>Sykehus</t>
  </si>
  <si>
    <t>Kantine</t>
  </si>
  <si>
    <t>Catering m/heldagsproduksjon</t>
  </si>
  <si>
    <t>Tabell 7</t>
  </si>
  <si>
    <t>Maks vannføringsfaktor (F) og vannforbruk pr. Produsert varmrett (Vm) for storkjøkken (Ref: NS-EN 1825-2)</t>
  </si>
  <si>
    <t>Vannføringsfaktor (F) og vannforbruk (Vp) for kjøttprodukanlegg og slakterier</t>
  </si>
  <si>
    <t>Verdier for maks. Vannforbruk (q) og samtidighetsfaktor (Zn) for typisk tilbehør/utstyr</t>
  </si>
  <si>
    <t>Produksjonsmengde</t>
  </si>
  <si>
    <t>Liten, maks 5 GV pr. Uke</t>
  </si>
  <si>
    <t>Middels, 6 til 10 GV pr.uke</t>
  </si>
  <si>
    <t>Stor, 11 til 40 GV pr. Uke</t>
  </si>
  <si>
    <t>Vannføringsfaktor (F)</t>
  </si>
  <si>
    <t>Vannforbruk pr. Kg. kjøttprodukt (Vp) [liter]</t>
  </si>
  <si>
    <t>Metode 4:</t>
  </si>
  <si>
    <t>Dimensjonering av nominell størrelse</t>
  </si>
  <si>
    <t xml:space="preserve">Metode 2 </t>
  </si>
  <si>
    <t>Høytrykksvask/  dampvask</t>
  </si>
  <si>
    <t>Type (velg)</t>
  </si>
  <si>
    <t>Nominell størrelse (NS) = Qs x fd x ft x fr</t>
  </si>
  <si>
    <t>Slamfang:</t>
  </si>
  <si>
    <t>Metode 3</t>
  </si>
  <si>
    <t>Type kjøkken:</t>
  </si>
  <si>
    <t>Qs = M *Vm*F/T*3600</t>
  </si>
  <si>
    <t>NS=Qs*Fd*Ft*Fr</t>
  </si>
  <si>
    <r>
      <t>Temperaturfaktor (f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</si>
  <si>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r>
      <t>Korreksjonsfaktor vaske-/rengjøringmiddel (f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</si>
  <si>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r>
      <t>Korreksjonsfaktor  (f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</si>
  <si>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Tetthetsfaktor for fett (fd)</t>
  </si>
  <si>
    <t>Alltid eller iblandt &gt; 60 gr.</t>
  </si>
  <si>
    <t>&lt; 60 gr.</t>
  </si>
  <si>
    <t>Korreksjonsfaktor</t>
  </si>
  <si>
    <t xml:space="preserve">Produksjonsmengde:             </t>
  </si>
  <si>
    <t>1 GV = 1 ku eller 2,5 griser</t>
  </si>
  <si>
    <t>1 GV = 100 kg</t>
  </si>
  <si>
    <t>Maks vannføring Qs = Vp*Mp*F/3600 *T</t>
  </si>
  <si>
    <t>Beregnet størrelse (NS) på fettutskiller:  Qs * fd * ft * fr</t>
  </si>
  <si>
    <t>Pr. Kjøkkenutstyr og tappekraner for fettutskiller etter NS-EN-1825-2</t>
  </si>
  <si>
    <t xml:space="preserve">Metode 4: </t>
  </si>
  <si>
    <t>Antall Mp:</t>
  </si>
  <si>
    <t>Antall GV pr. Uke: (Angis)</t>
  </si>
  <si>
    <t>Velg:</t>
  </si>
  <si>
    <t xml:space="preserve">   Pr. måltid for fettutskiller etter NS-EN-1825-2</t>
  </si>
  <si>
    <t>Maks vannføring Qs:</t>
  </si>
  <si>
    <t>Utregnet Nominell størrelse (NS):</t>
  </si>
  <si>
    <t>Beregnet etter følgende formler i henhold til NS-EN 1825-2:</t>
  </si>
  <si>
    <t>Vaskemidler tidvis eller altid brukt (fr)</t>
  </si>
  <si>
    <t>Vanntemperatur over eller under 60gr (ft)</t>
  </si>
  <si>
    <t>Prosjekt:</t>
  </si>
  <si>
    <t>Konsulent:</t>
  </si>
  <si>
    <t>Merknader:</t>
  </si>
  <si>
    <t>Fettutskillerens nominelle størrelse (NS)</t>
  </si>
  <si>
    <t>Inndata:</t>
  </si>
  <si>
    <t xml:space="preserve">Metode 1 </t>
  </si>
  <si>
    <t>Dimensjonering av fettutskiller</t>
  </si>
  <si>
    <t>Metode 2</t>
  </si>
  <si>
    <t>Metode 4</t>
  </si>
  <si>
    <t>Beregning av NS for kjøttbearbeidende industri, (Slakterier, pølsemakeri, delikatesseforretninger), og lignende.
Metoden ertsatter konkrete målinger (Metode 1)</t>
  </si>
  <si>
    <r>
      <t>Beregning av NS (Nominell størrelse) ut i fra konkrete målinger av 
maks vannføring Q</t>
    </r>
    <r>
      <rPr>
        <b/>
        <sz val="10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(l/s)</t>
    </r>
  </si>
  <si>
    <t>Vannforbruk per enhet, (q) (l/s)</t>
  </si>
  <si>
    <t xml:space="preserve">Hvis ekstern slamfang benyttes er minste anbefalte volum 100 x NS </t>
  </si>
  <si>
    <r>
      <t xml:space="preserve">Standard </t>
    </r>
    <r>
      <rPr>
        <b/>
        <sz val="11"/>
        <color theme="1"/>
        <rFont val="Calibri"/>
        <family val="2"/>
        <scheme val="minor"/>
      </rPr>
      <t xml:space="preserve">ØR-fettutskiller </t>
    </r>
    <r>
      <rPr>
        <sz val="11"/>
        <color theme="1"/>
        <rFont val="Calibri"/>
        <family val="2"/>
        <scheme val="minor"/>
      </rPr>
      <t>er konstruert til å samle slam i bunnseksjonen.</t>
    </r>
  </si>
  <si>
    <t>Volumet er normalt dekkende for slamfangbehovet.</t>
  </si>
  <si>
    <t>Tabell utskillerstørrelse</t>
  </si>
  <si>
    <t>Velg type ØR fettavskiller (NS)</t>
  </si>
  <si>
    <t>Maks. Vannføring (Qs), målt i full drift</t>
  </si>
  <si>
    <t>Maks vannføring Qs=</t>
  </si>
  <si>
    <r>
      <t>Beregning av NS (Nominell størrelse) på fettutskiller ut i fra konkrete målinger av maks vannføring Q</t>
    </r>
    <r>
      <rPr>
        <b/>
        <sz val="10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(l/s)</t>
    </r>
  </si>
  <si>
    <t>Legg inn data i de lyseblå feltene, direkte eller via nedtrekksmeny for de feltene dette gjelder.</t>
  </si>
  <si>
    <r>
      <t>Angi driftstid på kjøkken pr. Dag:</t>
    </r>
    <r>
      <rPr>
        <sz val="11"/>
        <color theme="1"/>
        <rFont val="Calibri"/>
        <family val="2"/>
        <scheme val="minor"/>
      </rPr>
      <t xml:space="preserve"> (T)</t>
    </r>
  </si>
  <si>
    <t xml:space="preserve">   Kjøttbearbeidende industri for fettutskiller etter NS-EN-1825-2</t>
  </si>
  <si>
    <t xml:space="preserve">Hvis ekstern slamfang benyttes, er minste anbefalte volum 200 x NS </t>
  </si>
  <si>
    <t>Slamfang</t>
  </si>
  <si>
    <r>
      <t xml:space="preserve">NS7 </t>
    </r>
    <r>
      <rPr>
        <sz val="11"/>
        <color theme="1"/>
        <rFont val="Calibri"/>
        <family val="2"/>
        <scheme val="minor"/>
      </rPr>
      <t xml:space="preserve"> (4-7)</t>
    </r>
  </si>
  <si>
    <r>
      <t xml:space="preserve">NS4  </t>
    </r>
    <r>
      <rPr>
        <sz val="11"/>
        <color theme="1"/>
        <rFont val="Calibri"/>
        <family val="2"/>
        <scheme val="minor"/>
      </rPr>
      <t>(2-4)</t>
    </r>
  </si>
  <si>
    <r>
      <t xml:space="preserve">NS10  </t>
    </r>
    <r>
      <rPr>
        <sz val="11"/>
        <color theme="1"/>
        <rFont val="Calibri"/>
        <family val="2"/>
        <scheme val="minor"/>
      </rPr>
      <t>(7-10)</t>
    </r>
  </si>
  <si>
    <r>
      <t xml:space="preserve">NS15  </t>
    </r>
    <r>
      <rPr>
        <sz val="11"/>
        <color theme="1"/>
        <rFont val="Calibri"/>
        <family val="2"/>
        <scheme val="minor"/>
      </rPr>
      <t>(10-15)</t>
    </r>
  </si>
  <si>
    <t>Beregnet Slamfang volum:</t>
  </si>
  <si>
    <t>Slamfangstørrelse i liter (etter NS EN 1825-2)</t>
  </si>
  <si>
    <t>Våtvolum i liter for valgt fettutskiller</t>
  </si>
  <si>
    <t>Velg type ØR fettutskiller (NS)</t>
  </si>
  <si>
    <t xml:space="preserve">Fettvolum ved anbefalt tømming </t>
  </si>
  <si>
    <t>Våtvolum</t>
  </si>
  <si>
    <t>Maks</t>
  </si>
  <si>
    <t>Tømme</t>
  </si>
  <si>
    <t>Lagringsvolum Fett</t>
  </si>
  <si>
    <t>Det er krav til sand/slam-fang i noen kommuner</t>
  </si>
  <si>
    <t>Endelig størrelse er avhengig av valgt utskiller</t>
  </si>
  <si>
    <t>Fettutskillerberegning</t>
  </si>
  <si>
    <t>Beregnt nominell størrelse (NS)</t>
  </si>
  <si>
    <t>NS4  (2-4)</t>
  </si>
  <si>
    <t>Type:</t>
  </si>
  <si>
    <t>Beregnet nominell størrelse (NS)</t>
  </si>
  <si>
    <r>
      <t xml:space="preserve">Standard </t>
    </r>
    <r>
      <rPr>
        <b/>
        <sz val="11"/>
        <color theme="1"/>
        <rFont val="Calibri"/>
        <family val="2"/>
        <scheme val="minor"/>
      </rPr>
      <t xml:space="preserve">ØR-fettutskiller </t>
    </r>
    <r>
      <rPr>
        <sz val="11"/>
        <color theme="1"/>
        <rFont val="Calibri"/>
        <family val="2"/>
        <scheme val="minor"/>
      </rPr>
      <t>har lagerplass for slam i bunnseksjonen.</t>
    </r>
  </si>
  <si>
    <t>Diameter ut/innløp</t>
  </si>
  <si>
    <t>Kum</t>
  </si>
  <si>
    <t>Inn/Utløp</t>
  </si>
  <si>
    <t>DN 1200</t>
  </si>
  <si>
    <t>DN 1600</t>
  </si>
  <si>
    <t>DN 2000</t>
  </si>
  <si>
    <t>DN 2500</t>
  </si>
  <si>
    <t>KUM</t>
  </si>
  <si>
    <r>
      <t>Angi antall varm-måltider pr. dag:</t>
    </r>
    <r>
      <rPr>
        <sz val="11"/>
        <color theme="1"/>
        <rFont val="Calibri"/>
        <family val="2"/>
        <scheme val="minor"/>
      </rPr>
      <t xml:space="preserve"> (M)</t>
    </r>
  </si>
  <si>
    <t>Timer produksjon (T):</t>
  </si>
  <si>
    <t>Varm-måltid per dag:</t>
  </si>
  <si>
    <t>Driftstid, timer hver dag:</t>
  </si>
  <si>
    <t>Beregnt slamfang:</t>
  </si>
  <si>
    <t>Ved beregnet NS større enn 15, ta kontakt med oss i Østraadt rør</t>
  </si>
  <si>
    <t>Beregnet slamfang:</t>
  </si>
  <si>
    <t>Tappeventil/utløp for rengjøring</t>
  </si>
  <si>
    <t>Metode 2:</t>
  </si>
  <si>
    <t>Vannføringskoeffisient: (F)</t>
  </si>
  <si>
    <t>Volum vann brukt pr. Måltid: (Vm)</t>
  </si>
  <si>
    <t>Beregningene er i henhold til NS-ES-1825-2. 
Kalkulatoren dekker de fleste aktuelle installasjoner.
Ta kontakt med oss i Østraadt Rør Gruppen for 
veiledning, råd og tilbud.
Alle beregninger med forbehold.</t>
  </si>
  <si>
    <t xml:space="preserve">Beregnet minste anbefalte slamfangvolum = 100 x NS </t>
  </si>
  <si>
    <t>Diameter ut/innløp (mm)</t>
  </si>
  <si>
    <t>Beregnning  av NS ut i fra gjenomsnitt serverte måltider 
og driftstid pr. dag.
Metode 2 er å foretrekke, men metode 3 må brukes når man i for-prosjekteringsfasen ikke vet hva slags utstyr kjøkkenet vil få</t>
  </si>
  <si>
    <t>Beregnning  av NS ut i fra kjøkkenutstyr 
og tappesteder i kjøkkenavløp.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</si>
</sst>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2" xfId="0" applyBorder="1"/>
    <xf numFmtId="0" fontId="0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/>
    <xf numFmtId="0" fontId="1" fillId="2" borderId="1" xfId="0" applyFont="1" applyFill="1" applyBorder="1"/>
    <xf numFmtId="0" fontId="0" fillId="0" borderId="1" xfId="0" applyBorder="1" applyAlignment="1">
      <alignment horizontal="right"/>
    </xf>
    <xf numFmtId="0" fontId="0" fillId="2" borderId="12" xfId="0" applyFill="1" applyBorder="1"/>
    <xf numFmtId="0" fontId="0" fillId="2" borderId="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0" xfId="0" applyFill="1"/>
    <xf numFmtId="0" fontId="0" fillId="2" borderId="3" xfId="0" applyFill="1" applyBorder="1"/>
    <xf numFmtId="0" fontId="1" fillId="2" borderId="2" xfId="0" applyFont="1" applyFill="1" applyBorder="1"/>
    <xf numFmtId="0" fontId="1" fillId="2" borderId="12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Border="1" applyAlignment="1">
      <alignment horizontal="left" wrapText="1"/>
    </xf>
    <xf numFmtId="2" fontId="0" fillId="0" borderId="0" xfId="0" applyNumberFormat="1" applyFill="1" applyBorder="1"/>
    <xf numFmtId="0" fontId="0" fillId="0" borderId="0" xfId="0" applyAlignment="1"/>
    <xf numFmtId="0" fontId="1" fillId="2" borderId="2" xfId="0" applyFont="1" applyFill="1" applyBorder="1" applyAlignment="1"/>
    <xf numFmtId="0" fontId="0" fillId="0" borderId="2" xfId="0" applyBorder="1" applyAlignment="1"/>
    <xf numFmtId="0" fontId="0" fillId="0" borderId="10" xfId="0" applyFill="1" applyBorder="1" applyAlignment="1">
      <alignment horizontal="center" wrapText="1"/>
    </xf>
    <xf numFmtId="0" fontId="2" fillId="5" borderId="3" xfId="0" applyFont="1" applyFill="1" applyBorder="1" applyAlignment="1"/>
    <xf numFmtId="0" fontId="2" fillId="5" borderId="2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/>
    <xf numFmtId="0" fontId="1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0" fontId="1" fillId="8" borderId="2" xfId="0" applyFont="1" applyFill="1" applyBorder="1"/>
    <xf numFmtId="0" fontId="0" fillId="8" borderId="12" xfId="0" applyFill="1" applyBorder="1"/>
    <xf numFmtId="0" fontId="0" fillId="8" borderId="3" xfId="0" applyFill="1" applyBorder="1"/>
    <xf numFmtId="0" fontId="1" fillId="0" borderId="10" xfId="0" applyFont="1" applyBorder="1"/>
    <xf numFmtId="0" fontId="0" fillId="0" borderId="10" xfId="0" applyBorder="1"/>
    <xf numFmtId="0" fontId="0" fillId="0" borderId="0" xfId="0" applyAlignment="1">
      <alignment horizontal="left"/>
    </xf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2" borderId="3" xfId="0" applyFill="1" applyBorder="1" applyAlignment="1">
      <alignment horizontal="center"/>
    </xf>
    <xf numFmtId="0" fontId="2" fillId="2" borderId="2" xfId="0" applyFont="1" applyFill="1" applyBorder="1"/>
    <xf numFmtId="0" fontId="1" fillId="0" borderId="0" xfId="0" applyFont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/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10" borderId="1" xfId="0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49" fontId="1" fillId="9" borderId="1" xfId="0" applyNumberFormat="1" applyFont="1" applyFill="1" applyBorder="1" applyAlignment="1" applyProtection="1">
      <alignment horizontal="center"/>
      <protection locked="0"/>
    </xf>
    <xf numFmtId="164" fontId="1" fillId="1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2" fontId="2" fillId="6" borderId="2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7" borderId="1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7" borderId="2" xfId="0" applyFont="1" applyFill="1" applyBorder="1" applyAlignment="1" applyProtection="1">
      <alignment horizontal="left" wrapText="1"/>
      <protection locked="0"/>
    </xf>
    <xf numFmtId="0" fontId="1" fillId="7" borderId="3" xfId="0" applyFont="1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474731</xdr:colOff>
      <xdr:row>3</xdr:row>
      <xdr:rowOff>342900</xdr:rowOff>
    </xdr:to>
    <xdr:pic>
      <xdr:nvPicPr>
        <xdr:cNvPr id="2" name="Picture 2" descr="Ãstraadt RÃ¸r A/S">
          <a:extLst>
            <a:ext uri="{FF2B5EF4-FFF2-40B4-BE49-F238E27FC236}">
              <a16:creationId xmlns:a16="http://schemas.microsoft.com/office/drawing/2014/main" id="{831ECCE8-DFF9-49D3-A25E-7E4EA791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5630478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283623</xdr:colOff>
      <xdr:row>20</xdr:row>
      <xdr:rowOff>31223</xdr:rowOff>
    </xdr:from>
    <xdr:to>
      <xdr:col>6</xdr:col>
      <xdr:colOff>32590</xdr:colOff>
      <xdr:row>31</xdr:row>
      <xdr:rowOff>2647</xdr:rowOff>
    </xdr:to>
    <xdr:pic>
      <xdr:nvPicPr>
        <xdr:cNvPr id="4" name="Bilde 3" descr="https://www.ostraadtror.no/wp-content/uploads/2019/08/Fettutskiller-438x400.jpg">
          <a:extLst>
            <a:ext uri="{FF2B5EF4-FFF2-40B4-BE49-F238E27FC236}">
              <a16:creationId xmlns:a16="http://schemas.microsoft.com/office/drawing/2014/main" id="{B3286A39-A9CF-46DB-9291-65B1BC6D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009" y="7304859"/>
          <a:ext cx="2173513" cy="19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792479</xdr:colOff>
      <xdr:row>1</xdr:row>
      <xdr:rowOff>0</xdr:rowOff>
    </xdr:from>
    <xdr:to>
      <xdr:col>6</xdr:col>
      <xdr:colOff>892978</xdr:colOff>
      <xdr:row>4</xdr:row>
      <xdr:rowOff>133350</xdr:rowOff>
    </xdr:to>
    <xdr:pic>
      <xdr:nvPicPr>
        <xdr:cNvPr id="3" name="Picture 1" descr="Ãstraadt RÃ¸r A/S">
          <a:extLst>
            <a:ext uri="{FF2B5EF4-FFF2-40B4-BE49-F238E27FC236}">
              <a16:creationId xmlns:a16="http://schemas.microsoft.com/office/drawing/2014/main" id="{7DAADC85-6EF6-48DD-B6DA-E06B1E39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79" y="182880"/>
          <a:ext cx="5541179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</xdr:colOff>
      <xdr:row>45</xdr:row>
      <xdr:rowOff>175260</xdr:rowOff>
    </xdr:from>
    <xdr:to>
      <xdr:col>6</xdr:col>
      <xdr:colOff>760095</xdr:colOff>
      <xdr:row>49</xdr:row>
      <xdr:rowOff>91567</xdr:rowOff>
    </xdr:to>
    <xdr:pic>
      <xdr:nvPicPr>
        <xdr:cNvPr id="5" name="Picture 1" descr="Ãstraadt RÃ¸r A/S">
          <a:extLst>
            <a:ext uri="{FF2B5EF4-FFF2-40B4-BE49-F238E27FC236}">
              <a16:creationId xmlns:a16="http://schemas.microsoft.com/office/drawing/2014/main" id="{4269599F-BA63-4CD6-A77E-7F8DB47A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507480"/>
          <a:ext cx="5354955" cy="638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37</xdr:row>
      <xdr:rowOff>62738</xdr:rowOff>
    </xdr:from>
    <xdr:to>
      <xdr:col>6</xdr:col>
      <xdr:colOff>285750</xdr:colOff>
      <xdr:row>40</xdr:row>
      <xdr:rowOff>152400</xdr:rowOff>
    </xdr:to>
    <xdr:pic>
      <xdr:nvPicPr>
        <xdr:cNvPr id="2" name="Picture 1" descr="Ãstraadt RÃ¸r A/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254238"/>
          <a:ext cx="5219700" cy="661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584835</xdr:colOff>
      <xdr:row>0</xdr:row>
      <xdr:rowOff>76200</xdr:rowOff>
    </xdr:from>
    <xdr:to>
      <xdr:col>6</xdr:col>
      <xdr:colOff>340995</xdr:colOff>
      <xdr:row>4</xdr:row>
      <xdr:rowOff>20745</xdr:rowOff>
    </xdr:to>
    <xdr:pic>
      <xdr:nvPicPr>
        <xdr:cNvPr id="7" name="Picture 1" descr="Ãstraadt RÃ¸r A/S">
          <a:extLst>
            <a:ext uri="{FF2B5EF4-FFF2-40B4-BE49-F238E27FC236}">
              <a16:creationId xmlns:a16="http://schemas.microsoft.com/office/drawing/2014/main" id="{1622A499-F7FA-4C0B-85B3-44C97CDA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" y="76200"/>
          <a:ext cx="5433060" cy="66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15185</xdr:rowOff>
    </xdr:from>
    <xdr:to>
      <xdr:col>6</xdr:col>
      <xdr:colOff>97155</xdr:colOff>
      <xdr:row>47</xdr:row>
      <xdr:rowOff>152399</xdr:rowOff>
    </xdr:to>
    <xdr:pic>
      <xdr:nvPicPr>
        <xdr:cNvPr id="3" name="Picture 2" descr="Ãstraadt RÃ¸r A/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587435"/>
          <a:ext cx="5334000" cy="708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266700</xdr:colOff>
      <xdr:row>54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912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 editAs="oneCell">
    <xdr:from>
      <xdr:col>1</xdr:col>
      <xdr:colOff>8834</xdr:colOff>
      <xdr:row>1</xdr:row>
      <xdr:rowOff>45720</xdr:rowOff>
    </xdr:from>
    <xdr:to>
      <xdr:col>6</xdr:col>
      <xdr:colOff>361491</xdr:colOff>
      <xdr:row>5</xdr:row>
      <xdr:rowOff>20955</xdr:rowOff>
    </xdr:to>
    <xdr:pic>
      <xdr:nvPicPr>
        <xdr:cNvPr id="8" name="Picture 2" descr="Ãstraadt RÃ¸r A/S">
          <a:extLst>
            <a:ext uri="{FF2B5EF4-FFF2-40B4-BE49-F238E27FC236}">
              <a16:creationId xmlns:a16="http://schemas.microsoft.com/office/drawing/2014/main" id="{B497514C-965D-4F3E-8BC9-AD54156A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34" y="228600"/>
          <a:ext cx="5656177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42</xdr:row>
      <xdr:rowOff>161925</xdr:rowOff>
    </xdr:from>
    <xdr:to>
      <xdr:col>6</xdr:col>
      <xdr:colOff>285750</xdr:colOff>
      <xdr:row>46</xdr:row>
      <xdr:rowOff>96530</xdr:rowOff>
    </xdr:to>
    <xdr:pic>
      <xdr:nvPicPr>
        <xdr:cNvPr id="2" name="Picture 1" descr="Ãstraadt RÃ¸r A/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7162800"/>
          <a:ext cx="5457826" cy="700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249556</xdr:colOff>
      <xdr:row>4</xdr:row>
      <xdr:rowOff>113675</xdr:rowOff>
    </xdr:to>
    <xdr:pic>
      <xdr:nvPicPr>
        <xdr:cNvPr id="9" name="Picture 1" descr="Ãstraadt RÃ¸r A/S">
          <a:extLst>
            <a:ext uri="{FF2B5EF4-FFF2-40B4-BE49-F238E27FC236}">
              <a16:creationId xmlns:a16="http://schemas.microsoft.com/office/drawing/2014/main" id="{D6226D2F-7898-4FAA-9618-EA64E9C1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0"/>
          <a:ext cx="5610226" cy="662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3"/>
  <sheetViews>
    <sheetView tabSelected="1" zoomScale="110" zoomScaleNormal="110" workbookViewId="0">
      <selection activeCell="K12" sqref="K12"/>
    </sheetView>
  </sheetViews>
  <sheetFormatPr baseColWidth="10" defaultColWidth="8.88671875" defaultRowHeight="14.4" x14ac:dyDescent="0.3"/>
  <cols>
    <col min="1" max="1" width="12.5546875" customWidth="1"/>
    <col min="8" max="8" width="9.21875" customWidth="1"/>
  </cols>
  <sheetData>
    <row r="4" spans="1:9" ht="29.4" customHeight="1" x14ac:dyDescent="0.3"/>
    <row r="5" spans="1:9" ht="25.8" x14ac:dyDescent="0.5">
      <c r="A5" s="156" t="s">
        <v>130</v>
      </c>
      <c r="B5" s="157"/>
      <c r="C5" s="157"/>
      <c r="D5" s="157"/>
      <c r="E5" s="157"/>
      <c r="F5" s="157"/>
      <c r="G5" s="157"/>
      <c r="H5" s="157"/>
      <c r="I5" s="157"/>
    </row>
    <row r="6" spans="1:9" ht="25.8" x14ac:dyDescent="0.5">
      <c r="A6" s="148"/>
      <c r="B6" s="148"/>
      <c r="C6" s="148"/>
      <c r="D6" s="148"/>
      <c r="E6" s="148"/>
      <c r="F6" s="148"/>
      <c r="G6" s="148"/>
      <c r="H6" s="148"/>
      <c r="I6" s="148"/>
    </row>
    <row r="7" spans="1:9" ht="87.6" customHeight="1" x14ac:dyDescent="0.5">
      <c r="A7" s="148"/>
      <c r="B7" s="155" t="s">
        <v>189</v>
      </c>
      <c r="C7" s="158"/>
      <c r="D7" s="158"/>
      <c r="E7" s="158"/>
      <c r="F7" s="158"/>
      <c r="G7" s="158"/>
      <c r="H7" s="158"/>
      <c r="I7" s="148"/>
    </row>
    <row r="8" spans="1:9" ht="24" customHeight="1" x14ac:dyDescent="0.3"/>
    <row r="9" spans="1:9" ht="18" x14ac:dyDescent="0.35">
      <c r="C9" s="154" t="s">
        <v>129</v>
      </c>
      <c r="D9" s="154"/>
      <c r="E9" s="154"/>
      <c r="F9" s="154"/>
    </row>
    <row r="10" spans="1:9" ht="38.4" customHeight="1" x14ac:dyDescent="0.3">
      <c r="B10" s="155" t="s">
        <v>134</v>
      </c>
      <c r="C10" s="158"/>
      <c r="D10" s="158"/>
      <c r="E10" s="158"/>
      <c r="F10" s="158"/>
      <c r="G10" s="158"/>
      <c r="H10" s="158"/>
    </row>
    <row r="11" spans="1:9" x14ac:dyDescent="0.3">
      <c r="B11" s="100"/>
      <c r="C11" s="101"/>
      <c r="D11" s="101"/>
      <c r="E11" s="101"/>
      <c r="F11" s="101"/>
      <c r="G11" s="101"/>
      <c r="H11" s="101"/>
    </row>
    <row r="12" spans="1:9" ht="18" x14ac:dyDescent="0.35">
      <c r="A12" s="12"/>
      <c r="B12" s="88"/>
      <c r="C12" s="154" t="s">
        <v>131</v>
      </c>
      <c r="D12" s="154"/>
      <c r="E12" s="154"/>
      <c r="F12" s="154"/>
      <c r="G12" s="143"/>
      <c r="H12" s="143"/>
    </row>
    <row r="13" spans="1:9" ht="40.799999999999997" customHeight="1" x14ac:dyDescent="0.3">
      <c r="A13" s="12"/>
      <c r="B13" s="155" t="s">
        <v>193</v>
      </c>
      <c r="C13" s="155"/>
      <c r="D13" s="155"/>
      <c r="E13" s="155"/>
      <c r="F13" s="155"/>
      <c r="G13" s="155"/>
      <c r="H13" s="155"/>
    </row>
    <row r="14" spans="1:9" x14ac:dyDescent="0.3">
      <c r="A14" s="12"/>
      <c r="B14" s="100"/>
      <c r="C14" s="100"/>
      <c r="D14" s="100"/>
      <c r="E14" s="100"/>
      <c r="F14" s="100"/>
      <c r="G14" s="100"/>
      <c r="H14" s="100"/>
    </row>
    <row r="15" spans="1:9" ht="18" x14ac:dyDescent="0.35">
      <c r="A15" s="12"/>
      <c r="B15" s="88"/>
      <c r="C15" s="154" t="s">
        <v>97</v>
      </c>
      <c r="D15" s="154"/>
      <c r="E15" s="154"/>
      <c r="F15" s="154"/>
      <c r="G15" s="143"/>
      <c r="H15" s="143"/>
    </row>
    <row r="16" spans="1:9" ht="73.2" customHeight="1" x14ac:dyDescent="0.3">
      <c r="A16" s="12"/>
      <c r="B16" s="155" t="s">
        <v>192</v>
      </c>
      <c r="C16" s="155"/>
      <c r="D16" s="155"/>
      <c r="E16" s="155"/>
      <c r="F16" s="155"/>
      <c r="G16" s="155"/>
      <c r="H16" s="155"/>
    </row>
    <row r="17" spans="1:8" x14ac:dyDescent="0.3">
      <c r="A17" s="12"/>
      <c r="B17" s="100"/>
      <c r="C17" s="100"/>
      <c r="D17" s="100"/>
      <c r="E17" s="100"/>
      <c r="F17" s="100"/>
      <c r="G17" s="100"/>
      <c r="H17" s="100"/>
    </row>
    <row r="18" spans="1:8" ht="18" x14ac:dyDescent="0.35">
      <c r="A18" s="12"/>
      <c r="B18" s="88"/>
      <c r="C18" s="154" t="s">
        <v>132</v>
      </c>
      <c r="D18" s="154"/>
      <c r="E18" s="154"/>
      <c r="F18" s="154"/>
      <c r="G18" s="143"/>
      <c r="H18" s="143"/>
    </row>
    <row r="19" spans="1:8" ht="49.2" customHeight="1" x14ac:dyDescent="0.3">
      <c r="A19" s="12"/>
      <c r="B19" s="155" t="s">
        <v>133</v>
      </c>
      <c r="C19" s="155"/>
      <c r="D19" s="155"/>
      <c r="E19" s="155"/>
      <c r="F19" s="155"/>
      <c r="G19" s="155"/>
      <c r="H19" s="155"/>
    </row>
    <row r="20" spans="1:8" ht="22.8" customHeight="1" x14ac:dyDescent="0.3"/>
    <row r="23" spans="1:8" x14ac:dyDescent="0.3">
      <c r="G23" s="97"/>
    </row>
  </sheetData>
  <sheetProtection password="C5A6" sheet="1" objects="1" scenarios="1" selectLockedCells="1" selectUnlockedCells="1"/>
  <mergeCells count="10">
    <mergeCell ref="C15:F15"/>
    <mergeCell ref="B16:H16"/>
    <mergeCell ref="C18:F18"/>
    <mergeCell ref="B19:H19"/>
    <mergeCell ref="A5:I5"/>
    <mergeCell ref="C9:F9"/>
    <mergeCell ref="B10:H10"/>
    <mergeCell ref="C12:F12"/>
    <mergeCell ref="B13:H13"/>
    <mergeCell ref="B7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E8A6-EAB7-4E77-BBD1-75D521C1981C}">
  <dimension ref="B8:J87"/>
  <sheetViews>
    <sheetView workbookViewId="0">
      <selection activeCell="B63" sqref="B63:F65"/>
    </sheetView>
  </sheetViews>
  <sheetFormatPr baseColWidth="10" defaultRowHeight="14.4" x14ac:dyDescent="0.3"/>
  <cols>
    <col min="2" max="2" width="13.44140625" customWidth="1"/>
    <col min="4" max="4" width="17.33203125" customWidth="1"/>
    <col min="5" max="5" width="13.77734375" customWidth="1"/>
    <col min="7" max="7" width="15.88671875" customWidth="1"/>
    <col min="9" max="9" width="27.6640625" bestFit="1" customWidth="1"/>
    <col min="10" max="11" width="13.6640625" bestFit="1" customWidth="1"/>
  </cols>
  <sheetData>
    <row r="8" spans="2:8" ht="15" thickBot="1" x14ac:dyDescent="0.35"/>
    <row r="9" spans="2:8" ht="37.200000000000003" customHeight="1" thickBot="1" x14ac:dyDescent="0.35">
      <c r="B9" s="96" t="s">
        <v>129</v>
      </c>
      <c r="C9" s="187" t="s">
        <v>143</v>
      </c>
      <c r="D9" s="188"/>
      <c r="E9" s="188"/>
      <c r="F9" s="188"/>
      <c r="G9" s="189"/>
      <c r="H9" s="95"/>
    </row>
    <row r="10" spans="2:8" ht="14.4" customHeight="1" thickBot="1" x14ac:dyDescent="0.35">
      <c r="B10" s="95"/>
      <c r="C10" s="94"/>
      <c r="D10" s="94"/>
      <c r="E10" s="94"/>
      <c r="F10" s="94"/>
      <c r="G10" s="94"/>
      <c r="H10" s="94"/>
    </row>
    <row r="11" spans="2:8" ht="14.4" customHeight="1" thickBot="1" x14ac:dyDescent="0.35">
      <c r="B11" s="164" t="s">
        <v>144</v>
      </c>
      <c r="C11" s="165"/>
      <c r="D11" s="165"/>
      <c r="E11" s="165"/>
      <c r="F11" s="165"/>
      <c r="G11" s="166"/>
      <c r="H11" s="94"/>
    </row>
    <row r="12" spans="2:8" ht="14.4" customHeight="1" x14ac:dyDescent="0.3">
      <c r="B12" s="95"/>
      <c r="C12" s="94"/>
      <c r="D12" s="94"/>
      <c r="E12" s="94"/>
      <c r="F12" s="94"/>
      <c r="G12" s="94"/>
      <c r="H12" s="94"/>
    </row>
    <row r="15" spans="2:8" ht="18" x14ac:dyDescent="0.35">
      <c r="B15" s="171" t="s">
        <v>141</v>
      </c>
      <c r="C15" s="171"/>
      <c r="D15" s="171"/>
      <c r="E15" s="172"/>
      <c r="F15" s="131">
        <v>0</v>
      </c>
    </row>
    <row r="19" spans="2:10" x14ac:dyDescent="0.3">
      <c r="B19" s="123"/>
      <c r="C19" s="124"/>
      <c r="D19" s="124"/>
      <c r="E19" s="132" t="s">
        <v>117</v>
      </c>
      <c r="F19" s="190" t="s">
        <v>107</v>
      </c>
      <c r="G19" s="191"/>
      <c r="I19" s="1" t="s">
        <v>6</v>
      </c>
    </row>
    <row r="20" spans="2:10" x14ac:dyDescent="0.3">
      <c r="B20" s="173" t="str">
        <f>Tabeller!C3</f>
        <v>Tetthetsfaktor for fett (fd)</v>
      </c>
      <c r="C20" s="174"/>
      <c r="D20" s="175"/>
      <c r="E20" s="133" t="s">
        <v>0</v>
      </c>
      <c r="F20" s="192">
        <f>IF(E20=Tabeller!C5,Tabeller!D5,IF(E20=Tabeller!C6,Tabeller!D6,""))</f>
        <v>1</v>
      </c>
      <c r="G20" s="193"/>
      <c r="I20" s="4" t="s">
        <v>7</v>
      </c>
      <c r="J20" s="4" t="s">
        <v>2</v>
      </c>
    </row>
    <row r="21" spans="2:10" ht="43.2" x14ac:dyDescent="0.3">
      <c r="B21" s="173" t="str">
        <f>Tabeller!C26&amp;" (ft)"</f>
        <v>Bruk av vaske-/rengjøringsmidler (ft)</v>
      </c>
      <c r="C21" s="174"/>
      <c r="D21" s="175"/>
      <c r="E21" s="134" t="s">
        <v>25</v>
      </c>
      <c r="F21" s="192">
        <f>IF(E21=Tabeller!C27,Tabeller!D27,IF(E21=Tabeller!C28,Tabeller!D28,IF(E21=Tabeller!C29,Tabeller!D29,"")))</f>
        <v>1.3</v>
      </c>
      <c r="G21" s="193"/>
      <c r="I21" s="6" t="s">
        <v>8</v>
      </c>
      <c r="J21" s="46" t="str">
        <f>Tabeller!D11</f>
        <v>0,85 -0,94</v>
      </c>
    </row>
    <row r="22" spans="2:10" ht="28.8" x14ac:dyDescent="0.3">
      <c r="B22" s="173" t="str">
        <f>Tabeller!C20&amp;" (fr)"</f>
        <v>Temperatur på avløpsvann ved innløp (fr)</v>
      </c>
      <c r="C22" s="174"/>
      <c r="D22" s="175"/>
      <c r="E22" s="134" t="s">
        <v>105</v>
      </c>
      <c r="F22" s="192">
        <f>IF(E22=Tabeller!C21,Tabeller!D21,Tabeller!D22)</f>
        <v>1.3</v>
      </c>
      <c r="G22" s="193"/>
      <c r="I22" s="6" t="s">
        <v>10</v>
      </c>
      <c r="J22" s="46">
        <f>Tabeller!D12</f>
        <v>0.91</v>
      </c>
    </row>
    <row r="23" spans="2:10" x14ac:dyDescent="0.3">
      <c r="I23" s="6" t="s">
        <v>11</v>
      </c>
      <c r="J23" s="46" t="str">
        <f>Tabeller!D13</f>
        <v>0,92 - 0,93</v>
      </c>
    </row>
    <row r="24" spans="2:10" x14ac:dyDescent="0.3">
      <c r="I24" s="6" t="s">
        <v>13</v>
      </c>
      <c r="J24" s="46" t="str">
        <f>Tabeller!D14</f>
        <v>0,89 - 0,94</v>
      </c>
    </row>
    <row r="25" spans="2:10" x14ac:dyDescent="0.3">
      <c r="I25" s="6" t="s">
        <v>15</v>
      </c>
      <c r="J25" s="46" t="str">
        <f>Tabeller!D15</f>
        <v>0,91 - 0,92</v>
      </c>
    </row>
    <row r="26" spans="2:10" ht="18" x14ac:dyDescent="0.35">
      <c r="B26" s="167" t="s">
        <v>95</v>
      </c>
      <c r="C26" s="168"/>
      <c r="D26" s="168"/>
      <c r="E26" s="169"/>
      <c r="F26" s="170" t="str">
        <f>"NS = "&amp;(F15*F20*F21*F22)</f>
        <v>NS = 0</v>
      </c>
      <c r="G26" s="170"/>
      <c r="I26" s="6" t="s">
        <v>17</v>
      </c>
      <c r="J26" s="46" t="str">
        <f>Tabeller!D16</f>
        <v>0,95 - 0,97</v>
      </c>
    </row>
    <row r="27" spans="2:10" x14ac:dyDescent="0.3">
      <c r="I27" s="12"/>
      <c r="J27" s="34"/>
    </row>
    <row r="28" spans="2:10" x14ac:dyDescent="0.3">
      <c r="I28" s="12"/>
      <c r="J28" s="34"/>
    </row>
    <row r="29" spans="2:10" x14ac:dyDescent="0.3">
      <c r="I29" s="12"/>
      <c r="J29" s="34"/>
    </row>
    <row r="30" spans="2:10" x14ac:dyDescent="0.3">
      <c r="B30" t="s">
        <v>169</v>
      </c>
      <c r="I30" s="12"/>
      <c r="J30" s="34"/>
    </row>
    <row r="31" spans="2:10" x14ac:dyDescent="0.3">
      <c r="B31" t="s">
        <v>138</v>
      </c>
      <c r="I31" s="12"/>
      <c r="J31" s="34"/>
    </row>
    <row r="33" spans="2:7" x14ac:dyDescent="0.3">
      <c r="B33" t="s">
        <v>190</v>
      </c>
    </row>
    <row r="34" spans="2:7" x14ac:dyDescent="0.3">
      <c r="B34" t="s">
        <v>163</v>
      </c>
    </row>
    <row r="35" spans="2:7" ht="22.2" customHeight="1" x14ac:dyDescent="0.3">
      <c r="B35" s="81" t="s">
        <v>153</v>
      </c>
      <c r="C35" s="82"/>
      <c r="D35" s="82"/>
      <c r="E35" s="83"/>
      <c r="F35" s="162" t="str">
        <f>MID(F26,5,5)*100&amp;"  liter"</f>
        <v>0  liter</v>
      </c>
      <c r="G35" s="163"/>
    </row>
    <row r="39" spans="2:7" ht="21" x14ac:dyDescent="0.4">
      <c r="E39" s="102"/>
    </row>
    <row r="40" spans="2:7" ht="21" x14ac:dyDescent="0.4">
      <c r="E40" s="102"/>
    </row>
    <row r="41" spans="2:7" ht="21" x14ac:dyDescent="0.4">
      <c r="E41" s="102"/>
    </row>
    <row r="42" spans="2:7" ht="21" x14ac:dyDescent="0.4">
      <c r="E42" s="102"/>
    </row>
    <row r="52" spans="2:6" x14ac:dyDescent="0.3">
      <c r="B52" s="176" t="s">
        <v>164</v>
      </c>
      <c r="C52" s="176"/>
      <c r="D52" s="176"/>
      <c r="E52" s="176"/>
      <c r="F52" s="176"/>
    </row>
    <row r="53" spans="2:6" x14ac:dyDescent="0.3">
      <c r="B53" s="138"/>
      <c r="C53" s="138"/>
      <c r="D53" s="138"/>
      <c r="E53" s="138"/>
      <c r="F53" s="138"/>
    </row>
    <row r="54" spans="2:6" x14ac:dyDescent="0.3">
      <c r="B54" s="139" t="s">
        <v>124</v>
      </c>
      <c r="C54" s="138"/>
      <c r="D54" s="138"/>
      <c r="E54" s="138"/>
      <c r="F54" s="138"/>
    </row>
    <row r="55" spans="2:6" x14ac:dyDescent="0.3">
      <c r="B55" s="178"/>
      <c r="C55" s="179"/>
      <c r="D55" s="179"/>
      <c r="E55" s="179"/>
      <c r="F55" s="180"/>
    </row>
    <row r="56" spans="2:6" x14ac:dyDescent="0.3">
      <c r="B56" s="181"/>
      <c r="C56" s="182"/>
      <c r="D56" s="182"/>
      <c r="E56" s="182"/>
      <c r="F56" s="183"/>
    </row>
    <row r="57" spans="2:6" x14ac:dyDescent="0.3">
      <c r="B57" s="184"/>
      <c r="C57" s="185"/>
      <c r="D57" s="185"/>
      <c r="E57" s="185"/>
      <c r="F57" s="186"/>
    </row>
    <row r="58" spans="2:6" x14ac:dyDescent="0.3">
      <c r="B58" s="139" t="s">
        <v>125</v>
      </c>
      <c r="C58" s="138"/>
      <c r="D58" s="138"/>
      <c r="E58" s="138"/>
      <c r="F58" s="138"/>
    </row>
    <row r="59" spans="2:6" x14ac:dyDescent="0.3">
      <c r="B59" s="178"/>
      <c r="C59" s="179"/>
      <c r="D59" s="179"/>
      <c r="E59" s="179"/>
      <c r="F59" s="180"/>
    </row>
    <row r="60" spans="2:6" x14ac:dyDescent="0.3">
      <c r="B60" s="181"/>
      <c r="C60" s="182"/>
      <c r="D60" s="182"/>
      <c r="E60" s="182"/>
      <c r="F60" s="183"/>
    </row>
    <row r="61" spans="2:6" x14ac:dyDescent="0.3">
      <c r="B61" s="184"/>
      <c r="C61" s="185"/>
      <c r="D61" s="185"/>
      <c r="E61" s="185"/>
      <c r="F61" s="186"/>
    </row>
    <row r="62" spans="2:6" x14ac:dyDescent="0.3">
      <c r="B62" s="139" t="s">
        <v>126</v>
      </c>
      <c r="C62" s="138"/>
      <c r="D62" s="138"/>
      <c r="E62" s="138"/>
      <c r="F62" s="138"/>
    </row>
    <row r="63" spans="2:6" x14ac:dyDescent="0.3">
      <c r="B63" s="178"/>
      <c r="C63" s="179"/>
      <c r="D63" s="179"/>
      <c r="E63" s="179"/>
      <c r="F63" s="180"/>
    </row>
    <row r="64" spans="2:6" x14ac:dyDescent="0.3">
      <c r="B64" s="181"/>
      <c r="C64" s="182"/>
      <c r="D64" s="182"/>
      <c r="E64" s="182"/>
      <c r="F64" s="183"/>
    </row>
    <row r="65" spans="2:6" x14ac:dyDescent="0.3">
      <c r="B65" s="184"/>
      <c r="C65" s="185"/>
      <c r="D65" s="185"/>
      <c r="E65" s="185"/>
      <c r="F65" s="186"/>
    </row>
    <row r="66" spans="2:6" x14ac:dyDescent="0.3">
      <c r="B66" s="137"/>
      <c r="C66" s="137"/>
      <c r="D66" s="137"/>
      <c r="E66" s="137"/>
      <c r="F66" s="137"/>
    </row>
    <row r="67" spans="2:6" x14ac:dyDescent="0.3">
      <c r="B67" s="137"/>
      <c r="C67" s="137"/>
      <c r="D67" s="137"/>
      <c r="E67" s="137"/>
      <c r="F67" s="137"/>
    </row>
    <row r="68" spans="2:6" x14ac:dyDescent="0.3">
      <c r="B68" s="161" t="s">
        <v>168</v>
      </c>
      <c r="C68" s="161"/>
      <c r="D68" s="161"/>
      <c r="E68" s="177"/>
      <c r="F68" s="136">
        <f>F15*F20*F21*F22</f>
        <v>0</v>
      </c>
    </row>
    <row r="69" spans="2:6" x14ac:dyDescent="0.3">
      <c r="F69" s="121"/>
    </row>
    <row r="70" spans="2:6" x14ac:dyDescent="0.3">
      <c r="B70" s="161" t="s">
        <v>156</v>
      </c>
      <c r="C70" s="161"/>
      <c r="D70" s="161"/>
      <c r="E70" s="177"/>
      <c r="F70" s="135" t="s">
        <v>166</v>
      </c>
    </row>
    <row r="71" spans="2:6" x14ac:dyDescent="0.3">
      <c r="F71" s="121"/>
    </row>
    <row r="72" spans="2:6" x14ac:dyDescent="0.3">
      <c r="B72" s="160" t="s">
        <v>155</v>
      </c>
      <c r="C72" s="160"/>
      <c r="D72" s="160"/>
      <c r="E72" s="160"/>
      <c r="F72" s="116">
        <f>VLOOKUP(F70,Tabeller!B74:C192,2,FALSE)</f>
        <v>1051</v>
      </c>
    </row>
    <row r="73" spans="2:6" x14ac:dyDescent="0.3">
      <c r="B73" s="160" t="s">
        <v>161</v>
      </c>
      <c r="C73" s="160"/>
      <c r="D73" s="160"/>
      <c r="E73" s="160"/>
      <c r="F73" s="116">
        <f>VLOOKUP(F70,Tabeller!B74:E193,4,FALSE)</f>
        <v>230</v>
      </c>
    </row>
    <row r="74" spans="2:6" x14ac:dyDescent="0.3">
      <c r="B74" s="160" t="s">
        <v>157</v>
      </c>
      <c r="C74" s="160"/>
      <c r="D74" s="160"/>
      <c r="E74" s="160"/>
      <c r="F74" s="116">
        <f>VLOOKUP(F70,Tabeller!B74:F193,5,FALSE)</f>
        <v>164</v>
      </c>
    </row>
    <row r="75" spans="2:6" x14ac:dyDescent="0.3">
      <c r="B75" s="161" t="s">
        <v>177</v>
      </c>
      <c r="C75" s="161"/>
      <c r="D75" s="161"/>
      <c r="E75" s="161"/>
      <c r="F75" s="116" t="str">
        <f>VLOOKUP(F70,Tabeller!B74:G193,6,FALSE)</f>
        <v>DN 1200</v>
      </c>
    </row>
    <row r="76" spans="2:6" x14ac:dyDescent="0.3">
      <c r="B76" s="161" t="s">
        <v>191</v>
      </c>
      <c r="C76" s="161"/>
      <c r="D76" s="161"/>
      <c r="E76" s="161"/>
      <c r="F76" s="116">
        <f>VLOOKUP(F70,Tabeller!B74:H193,7,FALSE)</f>
        <v>110</v>
      </c>
    </row>
    <row r="77" spans="2:6" x14ac:dyDescent="0.3">
      <c r="B77" s="121"/>
      <c r="C77" s="121"/>
      <c r="D77" s="121"/>
      <c r="E77" s="121"/>
      <c r="F77" s="103"/>
    </row>
    <row r="78" spans="2:6" x14ac:dyDescent="0.3">
      <c r="B78" s="121"/>
      <c r="C78" s="121"/>
      <c r="D78" s="121"/>
      <c r="E78" s="121"/>
      <c r="F78" s="103"/>
    </row>
    <row r="79" spans="2:6" x14ac:dyDescent="0.3">
      <c r="F79" s="121"/>
    </row>
    <row r="80" spans="2:6" x14ac:dyDescent="0.3">
      <c r="B80" s="1" t="s">
        <v>162</v>
      </c>
      <c r="F80" s="121"/>
    </row>
    <row r="81" spans="2:6" x14ac:dyDescent="0.3">
      <c r="B81" s="1" t="s">
        <v>154</v>
      </c>
      <c r="F81" s="117">
        <f>VLOOKUP(F70,Tabeller!B74:D192,3,FALSE)</f>
        <v>400</v>
      </c>
    </row>
    <row r="82" spans="2:6" x14ac:dyDescent="0.3">
      <c r="B82" s="1"/>
      <c r="F82" s="115"/>
    </row>
    <row r="85" spans="2:6" x14ac:dyDescent="0.3">
      <c r="B85" s="84" t="s">
        <v>128</v>
      </c>
      <c r="C85" s="85"/>
      <c r="D85" s="85"/>
      <c r="E85" s="85"/>
      <c r="F85" s="85"/>
    </row>
    <row r="87" spans="2:6" ht="31.2" customHeight="1" x14ac:dyDescent="0.3">
      <c r="B87" s="147" t="s">
        <v>98</v>
      </c>
      <c r="C87" s="159" t="str">
        <f>C9</f>
        <v>Beregning av NS (Nominell størrelse) på fettutskiller ut i fra konkrete målinger av maks vannføring Qs (l/s)</v>
      </c>
      <c r="D87" s="159"/>
      <c r="E87" s="159"/>
      <c r="F87" s="159"/>
    </row>
  </sheetData>
  <sheetProtection password="C5A6" sheet="1" objects="1" scenarios="1" selectLockedCells="1"/>
  <mergeCells count="25">
    <mergeCell ref="B55:F57"/>
    <mergeCell ref="B59:F61"/>
    <mergeCell ref="B63:F65"/>
    <mergeCell ref="B70:E70"/>
    <mergeCell ref="C9:G9"/>
    <mergeCell ref="F19:G19"/>
    <mergeCell ref="F20:G20"/>
    <mergeCell ref="F21:G21"/>
    <mergeCell ref="F22:G22"/>
    <mergeCell ref="C87:F87"/>
    <mergeCell ref="B72:E72"/>
    <mergeCell ref="B76:E76"/>
    <mergeCell ref="F35:G35"/>
    <mergeCell ref="B11:G11"/>
    <mergeCell ref="B26:E26"/>
    <mergeCell ref="F26:G26"/>
    <mergeCell ref="B15:E15"/>
    <mergeCell ref="B20:D20"/>
    <mergeCell ref="B21:D21"/>
    <mergeCell ref="B22:D22"/>
    <mergeCell ref="B52:F52"/>
    <mergeCell ref="B73:E73"/>
    <mergeCell ref="B74:E74"/>
    <mergeCell ref="B68:E68"/>
    <mergeCell ref="B75:E7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8C5BFC-69CB-46B0-BA62-2CA4F4ECBB15}">
          <x14:formula1>
            <xm:f>Tabeller!$C$5:$C$6</xm:f>
          </x14:formula1>
          <xm:sqref>E20</xm:sqref>
        </x14:dataValidation>
        <x14:dataValidation type="list" allowBlank="1" showInputMessage="1" showErrorMessage="1" xr:uid="{E572CEA6-2BC7-43F7-B755-81C8ADA642DC}">
          <x14:formula1>
            <xm:f>Tabeller!$C$27:$C$29</xm:f>
          </x14:formula1>
          <xm:sqref>E21</xm:sqref>
        </x14:dataValidation>
        <x14:dataValidation type="list" allowBlank="1" showInputMessage="1" showErrorMessage="1" xr:uid="{934809CC-144A-4AD1-958F-48807A5FF3B1}">
          <x14:formula1>
            <xm:f>Tabeller!$C$21:$C$22</xm:f>
          </x14:formula1>
          <xm:sqref>E22</xm:sqref>
        </x14:dataValidation>
        <x14:dataValidation type="list" allowBlank="1" showInputMessage="1" showErrorMessage="1" promptTitle="ØR fettutskiller" prompt="Velg størrelse" xr:uid="{1E29AEB9-5826-42B3-AB48-44D202750310}">
          <x14:formula1>
            <xm:f>Tabeller!$B$75:$B$78</xm:f>
          </x14:formula1>
          <xm:sqref>F70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S79"/>
  <sheetViews>
    <sheetView topLeftCell="A13" workbookViewId="0">
      <selection activeCell="C19" sqref="C19"/>
    </sheetView>
  </sheetViews>
  <sheetFormatPr baseColWidth="10" defaultColWidth="8.88671875" defaultRowHeight="14.4" x14ac:dyDescent="0.3"/>
  <cols>
    <col min="2" max="2" width="17.44140625" customWidth="1"/>
    <col min="3" max="3" width="13.88671875" customWidth="1"/>
    <col min="4" max="4" width="13" customWidth="1"/>
    <col min="5" max="5" width="16" customWidth="1"/>
    <col min="6" max="6" width="13.5546875" customWidth="1"/>
    <col min="9" max="9" width="21.44140625" customWidth="1"/>
    <col min="10" max="10" width="15.5546875" customWidth="1"/>
    <col min="11" max="11" width="11" bestFit="1" customWidth="1"/>
  </cols>
  <sheetData>
    <row r="7" spans="2:19" ht="23.25" customHeight="1" x14ac:dyDescent="0.35">
      <c r="B7" s="122" t="s">
        <v>92</v>
      </c>
      <c r="C7" s="54" t="s">
        <v>113</v>
      </c>
      <c r="D7" s="14"/>
      <c r="E7" s="14"/>
      <c r="F7" s="14"/>
      <c r="G7" s="9"/>
    </row>
    <row r="8" spans="2:19" ht="18.600000000000001" thickBot="1" x14ac:dyDescent="0.4">
      <c r="B8" s="89"/>
      <c r="C8" s="98"/>
      <c r="D8" s="12"/>
      <c r="E8" s="12"/>
      <c r="F8" s="12"/>
      <c r="G8" s="12"/>
    </row>
    <row r="9" spans="2:19" ht="15" thickBot="1" x14ac:dyDescent="0.35">
      <c r="B9" s="164" t="s">
        <v>144</v>
      </c>
      <c r="C9" s="165"/>
      <c r="D9" s="165"/>
      <c r="E9" s="165"/>
      <c r="F9" s="165"/>
      <c r="G9" s="166"/>
    </row>
    <row r="10" spans="2:19" ht="20.25" customHeight="1" x14ac:dyDescent="0.3">
      <c r="B10" s="197" t="s">
        <v>28</v>
      </c>
      <c r="C10" s="198"/>
      <c r="D10" s="198"/>
      <c r="E10" s="198"/>
      <c r="F10" s="198"/>
      <c r="G10" s="199"/>
    </row>
    <row r="11" spans="2:19" ht="43.2" x14ac:dyDescent="0.3">
      <c r="B11" s="130" t="s">
        <v>29</v>
      </c>
      <c r="C11" s="130" t="s">
        <v>94</v>
      </c>
      <c r="D11" s="129" t="s">
        <v>30</v>
      </c>
      <c r="E11" s="129" t="s">
        <v>135</v>
      </c>
      <c r="F11" s="129" t="s">
        <v>31</v>
      </c>
      <c r="G11" s="129" t="s">
        <v>32</v>
      </c>
    </row>
    <row r="12" spans="2:19" ht="20.25" customHeight="1" x14ac:dyDescent="0.35">
      <c r="B12" s="22" t="str">
        <f>Tabeller!C35</f>
        <v>Kokegryte</v>
      </c>
      <c r="C12" s="133" t="s">
        <v>47</v>
      </c>
      <c r="D12" s="133">
        <v>0</v>
      </c>
      <c r="E12" s="6">
        <f>IF(AND(B12=Tabeller!C35,C12=Tabeller!C36),Tabeller!D36,Tabeller!D37)</f>
        <v>1</v>
      </c>
      <c r="F12" s="7" t="str">
        <f>IF(OR(D12=0,D12=""),"",IF(D12=1,Tabeller!E35,IF(D12=2,Tabeller!F35,IF(D12=3,Tabeller!G35,IF(D12=4,Tabeller!H35,Tabeller!I35)))))</f>
        <v/>
      </c>
      <c r="G12" s="7" t="str">
        <f t="shared" ref="G12:G20" si="0">IF(OR(D12=0,D12=""),"",E12*F12*D12)</f>
        <v/>
      </c>
      <c r="N12" s="66"/>
      <c r="O12" s="66"/>
      <c r="P12" s="66"/>
      <c r="Q12" s="66"/>
      <c r="R12" s="66"/>
      <c r="S12" s="66"/>
    </row>
    <row r="13" spans="2:19" ht="21.75" customHeight="1" x14ac:dyDescent="0.3">
      <c r="B13" s="5" t="str">
        <f>Tabeller!C38</f>
        <v>Tippbar gryte</v>
      </c>
      <c r="C13" s="134" t="s">
        <v>53</v>
      </c>
      <c r="D13" s="133">
        <v>0</v>
      </c>
      <c r="E13" s="6">
        <f>IF(AND(B13=Tabeller!C38,C13=Tabeller!C39),Tabeller!D39,Tabeller!D40)</f>
        <v>1</v>
      </c>
      <c r="F13" s="7" t="str">
        <f>IF(OR(D13=0,D13=""),"",IF(D13=1,Tabeller!E38,IF(D13=2,Tabeller!F38,IF(D13=3,Tabeller!G38,IF(D13=4,Tabeller!H38,Tabeller!I38)))))</f>
        <v/>
      </c>
      <c r="G13" s="7" t="str">
        <f t="shared" si="0"/>
        <v/>
      </c>
    </row>
    <row r="14" spans="2:19" ht="48" customHeight="1" x14ac:dyDescent="0.3">
      <c r="B14" s="5" t="str">
        <f>Tabeller!C41</f>
        <v>Spylekasse/oppvaskbenk</v>
      </c>
      <c r="C14" s="134" t="s">
        <v>57</v>
      </c>
      <c r="D14" s="133">
        <v>0</v>
      </c>
      <c r="E14">
        <f>IF(AND(B14=Tabeller!C41,C14=Tabeller!C42),Tabeller!D42,IF(AND(B14=Tabeller!C41,C14=Tabeller!C43),Tabeller!D43,IF(AND(B14=Tabeller!C41,C14=Tabeller!C44),Tabeller!D44,Tabeller!D45)))</f>
        <v>0.8</v>
      </c>
      <c r="F14" s="7" t="str">
        <f>IF(OR(D14=0,D14=""),"",IF(D14=1,Tabeller!E41,IF(D14=2,Tabeller!F41,IF(D14=3,Tabeller!G41,IF(D14=4,Tabeller!H41,Tabeller!I41)))))</f>
        <v/>
      </c>
      <c r="G14" s="7" t="str">
        <f t="shared" si="0"/>
        <v/>
      </c>
    </row>
    <row r="15" spans="2:19" ht="24" customHeight="1" x14ac:dyDescent="0.3">
      <c r="B15" s="5" t="s">
        <v>61</v>
      </c>
      <c r="C15" s="134" t="s">
        <v>62</v>
      </c>
      <c r="D15" s="133">
        <v>0</v>
      </c>
      <c r="E15" s="6">
        <f>IF(AND(B15=Tabeller!C46,C15=Tabeller!C47),Tabeller!D47,Tabeller!D48)</f>
        <v>1</v>
      </c>
      <c r="F15" s="7" t="str">
        <f>IF(OR(D15=0,D15=""),"",IF(D15=1,Tabeller!E46,IF(D15=2,Tabeller!F46,IF(D15=3,Tabeller!G46,IF(D15=4,Tabeller!H46,Tabeller!I46)))))</f>
        <v/>
      </c>
      <c r="G15" s="7" t="str">
        <f t="shared" si="0"/>
        <v/>
      </c>
    </row>
    <row r="16" spans="2:19" ht="28.8" x14ac:dyDescent="0.3">
      <c r="B16" s="5" t="s">
        <v>93</v>
      </c>
      <c r="C16" s="48"/>
      <c r="D16" s="133">
        <v>0</v>
      </c>
      <c r="E16" s="7">
        <f>Tabeller!D49</f>
        <v>2</v>
      </c>
      <c r="F16" s="7" t="str">
        <f>IF(OR(D16=0,D16=""),"",IF(D16=1,Tabeller!E49,IF(D16=2,Tabeller!F49,IF(D16=3,Tabeller!G49,IF(D16=4,Tabeller!H49,Tabeller!I49)))))</f>
        <v/>
      </c>
      <c r="G16" s="7" t="str">
        <f t="shared" si="0"/>
        <v/>
      </c>
    </row>
    <row r="17" spans="2:15" x14ac:dyDescent="0.3">
      <c r="B17" s="5" t="s">
        <v>65</v>
      </c>
      <c r="C17" s="48"/>
      <c r="D17" s="133">
        <v>0</v>
      </c>
      <c r="E17" s="7">
        <f>Tabeller!D50</f>
        <v>1.5</v>
      </c>
      <c r="F17" s="7" t="str">
        <f>IF(OR(D17=0,D17=""),"",IF(D17=1,Tabeller!E50,IF(D17=2,Tabeller!F50,IF(D17=3,Tabeller!G50,IF(D17=4,Tabeller!H50,Tabeller!I50)))))</f>
        <v/>
      </c>
      <c r="G17" s="7" t="str">
        <f t="shared" si="0"/>
        <v/>
      </c>
    </row>
    <row r="18" spans="2:15" ht="19.5" customHeight="1" x14ac:dyDescent="0.3">
      <c r="B18" s="5" t="s">
        <v>66</v>
      </c>
      <c r="C18" s="48"/>
      <c r="D18" s="133">
        <v>0</v>
      </c>
      <c r="E18" s="7">
        <f>Tabeller!D51</f>
        <v>2</v>
      </c>
      <c r="F18" s="7" t="str">
        <f>IF(OR(D18=0,D18=""),"",IF(D18=1,Tabeller!E51,IF(D18=2,Tabeller!F51,IF(D18=3,Tabeller!G51,IF(D18=4,Tabeller!H51,Tabeller!I51)))))</f>
        <v/>
      </c>
      <c r="G18" s="7" t="str">
        <f t="shared" si="0"/>
        <v/>
      </c>
      <c r="L18" s="49"/>
      <c r="M18" s="49"/>
      <c r="N18" s="49"/>
      <c r="O18" s="49"/>
    </row>
    <row r="19" spans="2:15" ht="29.25" customHeight="1" x14ac:dyDescent="0.3">
      <c r="B19" s="5" t="s">
        <v>185</v>
      </c>
      <c r="C19" s="134" t="s">
        <v>68</v>
      </c>
      <c r="D19" s="133">
        <v>0</v>
      </c>
      <c r="E19" s="6">
        <f>IF(AND(B19=Tabeller!C52,C19=Tabeller!C53),Tabeller!D53,IF(AND(B19=Tabeller!C52,C19=Tabeller!C54),Tabeller!D54,Tabeller!D55))</f>
        <v>1</v>
      </c>
      <c r="F19" s="7" t="str">
        <f>IF(OR(D19=0,D19=""),"",IF(D19=1,Tabeller!E52,IF(D19=2,Tabeller!F52,IF(D19=3,Tabeller!G52,IF(D19=4,Tabeller!H52,Tabeller!I52)))))</f>
        <v/>
      </c>
      <c r="G19" s="7" t="str">
        <f t="shared" si="0"/>
        <v/>
      </c>
    </row>
    <row r="20" spans="2:15" ht="24.75" customHeight="1" x14ac:dyDescent="0.3">
      <c r="B20" s="5" t="s">
        <v>70</v>
      </c>
      <c r="C20" s="48"/>
      <c r="D20" s="133">
        <v>0</v>
      </c>
      <c r="E20" s="7">
        <f>Tabeller!D56</f>
        <v>2</v>
      </c>
      <c r="F20" s="7" t="str">
        <f>IF(OR(D20=0,D20=""),"",IF(D20=1,Tabeller!E56,IF(D20=2,Tabeller!F56,IF(D20=3,Tabeller!G56,IF(D20=4,Tabeller!H56,Tabeller!I56)))))</f>
        <v/>
      </c>
      <c r="G20" s="7" t="str">
        <f t="shared" si="0"/>
        <v/>
      </c>
    </row>
    <row r="21" spans="2:15" ht="23.25" customHeight="1" x14ac:dyDescent="0.3">
      <c r="B21" s="202" t="s">
        <v>33</v>
      </c>
      <c r="C21" s="202"/>
      <c r="D21" s="202"/>
      <c r="E21" s="203"/>
      <c r="F21" s="9"/>
      <c r="G21" s="8">
        <f>SUM(G12:G20)</f>
        <v>0</v>
      </c>
    </row>
    <row r="22" spans="2:15" ht="23.25" customHeight="1" x14ac:dyDescent="0.3">
      <c r="B22" s="67"/>
      <c r="C22" s="67"/>
      <c r="D22" s="67"/>
      <c r="E22" s="67"/>
      <c r="F22" s="12"/>
      <c r="G22" s="68"/>
    </row>
    <row r="23" spans="2:15" ht="21" customHeight="1" x14ac:dyDescent="0.3">
      <c r="B23" s="123"/>
      <c r="C23" s="124"/>
      <c r="D23" s="124"/>
      <c r="E23" s="75" t="s">
        <v>117</v>
      </c>
      <c r="F23" s="190" t="s">
        <v>107</v>
      </c>
      <c r="G23" s="191"/>
      <c r="I23" s="30" t="str">
        <f>Tabeller!C10</f>
        <v>Produkt</v>
      </c>
      <c r="J23" s="53" t="str">
        <f>Tabeller!D10</f>
        <v>Tetthet (g/cm3)</v>
      </c>
    </row>
    <row r="24" spans="2:15" x14ac:dyDescent="0.3">
      <c r="B24" s="173" t="str">
        <f>Tabeller!C3</f>
        <v>Tetthetsfaktor for fett (fd)</v>
      </c>
      <c r="C24" s="174"/>
      <c r="D24" s="175"/>
      <c r="E24" s="133" t="s">
        <v>0</v>
      </c>
      <c r="F24" s="192">
        <f>IF(E24=Tabeller!C5,Tabeller!D5,IF(E24=Tabeller!C6,Tabeller!D6,""))</f>
        <v>1</v>
      </c>
      <c r="G24" s="193"/>
      <c r="I24" s="6" t="str">
        <f>Tabeller!C11</f>
        <v xml:space="preserve">Animalsk fett </v>
      </c>
      <c r="J24" s="46" t="str">
        <f>Tabeller!D11</f>
        <v>0,85 -0,94</v>
      </c>
    </row>
    <row r="25" spans="2:15" ht="28.8" x14ac:dyDescent="0.3">
      <c r="B25" s="173" t="str">
        <f>Tabeller!C26&amp;" (ft)"</f>
        <v>Bruk av vaske-/rengjøringsmidler (ft)</v>
      </c>
      <c r="C25" s="174"/>
      <c r="D25" s="175"/>
      <c r="E25" s="134" t="s">
        <v>25</v>
      </c>
      <c r="F25" s="192">
        <f>IF(E25=Tabeller!C27,Tabeller!D27,IF(E25=Tabeller!C28,Tabeller!D28,IF(E25=Tabeller!C29,Tabeller!D29,"")))</f>
        <v>1.3</v>
      </c>
      <c r="G25" s="193"/>
      <c r="I25" s="6" t="str">
        <f>Tabeller!C12</f>
        <v>Smørfett / olivenolje</v>
      </c>
      <c r="J25" s="46">
        <f>Tabeller!D12</f>
        <v>0.91</v>
      </c>
      <c r="K25" s="49"/>
    </row>
    <row r="26" spans="2:15" x14ac:dyDescent="0.3">
      <c r="B26" s="173" t="str">
        <f>Tabeller!C20&amp;" (fr)"</f>
        <v>Temperatur på avløpsvann ved innløp (fr)</v>
      </c>
      <c r="C26" s="174"/>
      <c r="D26" s="175"/>
      <c r="E26" s="134" t="s">
        <v>106</v>
      </c>
      <c r="F26" s="192">
        <f>IF(E26=Tabeller!C21,Tabeller!D21,Tabeller!D22)</f>
        <v>1</v>
      </c>
      <c r="G26" s="193"/>
      <c r="I26" s="6" t="str">
        <f>Tabeller!C13</f>
        <v>Kokosolje / maisolje</v>
      </c>
      <c r="J26" s="46" t="str">
        <f>Tabeller!D13</f>
        <v>0,92 - 0,93</v>
      </c>
    </row>
    <row r="27" spans="2:15" x14ac:dyDescent="0.3">
      <c r="I27" s="6" t="str">
        <f>Tabeller!C14</f>
        <v>Fiskeolje</v>
      </c>
      <c r="J27" s="46" t="str">
        <f>Tabeller!D14</f>
        <v>0,89 - 0,94</v>
      </c>
    </row>
    <row r="28" spans="2:15" ht="18.75" customHeight="1" x14ac:dyDescent="0.35">
      <c r="B28" s="167" t="s">
        <v>95</v>
      </c>
      <c r="C28" s="168"/>
      <c r="D28" s="168"/>
      <c r="E28" s="169"/>
      <c r="F28" s="195">
        <f>(G21*F24*F25*F26)</f>
        <v>0</v>
      </c>
      <c r="G28" s="196"/>
      <c r="I28" s="6" t="str">
        <f>Tabeller!C15</f>
        <v>Palmeolje / rapsolje</v>
      </c>
      <c r="J28" s="46" t="str">
        <f>Tabeller!D15</f>
        <v>0,91 - 0,92</v>
      </c>
    </row>
    <row r="29" spans="2:15" ht="20.25" customHeight="1" x14ac:dyDescent="0.3">
      <c r="C29" s="87"/>
      <c r="I29" s="6" t="str">
        <f>Tabeller!C16</f>
        <v>Vegetabilsk olje</v>
      </c>
      <c r="J29" s="46" t="str">
        <f>Tabeller!D16</f>
        <v>0,95 - 0,97</v>
      </c>
    </row>
    <row r="30" spans="2:15" x14ac:dyDescent="0.3">
      <c r="B30" t="s">
        <v>169</v>
      </c>
    </row>
    <row r="31" spans="2:15" x14ac:dyDescent="0.3">
      <c r="B31" t="s">
        <v>138</v>
      </c>
    </row>
    <row r="33" spans="2:7" x14ac:dyDescent="0.3">
      <c r="B33" t="s">
        <v>136</v>
      </c>
    </row>
    <row r="34" spans="2:7" ht="13.8" customHeight="1" x14ac:dyDescent="0.3">
      <c r="B34" t="s">
        <v>163</v>
      </c>
    </row>
    <row r="35" spans="2:7" ht="22.5" customHeight="1" x14ac:dyDescent="0.3">
      <c r="B35" s="81" t="s">
        <v>96</v>
      </c>
      <c r="C35" s="82"/>
      <c r="D35" s="82"/>
      <c r="E35" s="83"/>
      <c r="F35" s="200">
        <f>F28*100</f>
        <v>0</v>
      </c>
      <c r="G35" s="201"/>
    </row>
    <row r="44" spans="2:7" x14ac:dyDescent="0.3">
      <c r="B44" s="176" t="s">
        <v>164</v>
      </c>
      <c r="C44" s="176"/>
      <c r="D44" s="176"/>
      <c r="E44" s="176"/>
      <c r="F44" s="176"/>
    </row>
    <row r="45" spans="2:7" x14ac:dyDescent="0.3">
      <c r="B45" s="125"/>
      <c r="C45" s="125"/>
      <c r="D45" s="125"/>
      <c r="E45" s="125"/>
      <c r="F45" s="125"/>
    </row>
    <row r="47" spans="2:7" x14ac:dyDescent="0.3">
      <c r="B47" s="1" t="s">
        <v>124</v>
      </c>
    </row>
    <row r="48" spans="2:7" x14ac:dyDescent="0.3">
      <c r="B48" s="178"/>
      <c r="C48" s="179"/>
      <c r="D48" s="179"/>
      <c r="E48" s="179"/>
      <c r="F48" s="180"/>
    </row>
    <row r="49" spans="2:13" x14ac:dyDescent="0.3">
      <c r="B49" s="181"/>
      <c r="C49" s="182"/>
      <c r="D49" s="182"/>
      <c r="E49" s="182"/>
      <c r="F49" s="183"/>
    </row>
    <row r="50" spans="2:13" x14ac:dyDescent="0.3">
      <c r="B50" s="184"/>
      <c r="C50" s="185"/>
      <c r="D50" s="185"/>
      <c r="E50" s="185"/>
      <c r="F50" s="186"/>
    </row>
    <row r="51" spans="2:13" x14ac:dyDescent="0.3">
      <c r="B51" s="1" t="s">
        <v>125</v>
      </c>
    </row>
    <row r="52" spans="2:13" x14ac:dyDescent="0.3">
      <c r="B52" s="178"/>
      <c r="C52" s="179"/>
      <c r="D52" s="179"/>
      <c r="E52" s="179"/>
      <c r="F52" s="180"/>
    </row>
    <row r="53" spans="2:13" x14ac:dyDescent="0.3">
      <c r="B53" s="181"/>
      <c r="C53" s="182"/>
      <c r="D53" s="182"/>
      <c r="E53" s="182"/>
      <c r="F53" s="183"/>
    </row>
    <row r="54" spans="2:13" x14ac:dyDescent="0.3">
      <c r="B54" s="184"/>
      <c r="C54" s="185"/>
      <c r="D54" s="185"/>
      <c r="E54" s="185"/>
      <c r="F54" s="186"/>
    </row>
    <row r="55" spans="2:13" x14ac:dyDescent="0.3">
      <c r="B55" s="1" t="s">
        <v>126</v>
      </c>
    </row>
    <row r="56" spans="2:13" x14ac:dyDescent="0.3">
      <c r="B56" s="178"/>
      <c r="C56" s="179"/>
      <c r="D56" s="179"/>
      <c r="E56" s="179"/>
      <c r="F56" s="180"/>
    </row>
    <row r="57" spans="2:13" x14ac:dyDescent="0.3">
      <c r="B57" s="181"/>
      <c r="C57" s="182"/>
      <c r="D57" s="182"/>
      <c r="E57" s="182"/>
      <c r="F57" s="183"/>
    </row>
    <row r="58" spans="2:13" x14ac:dyDescent="0.3">
      <c r="B58" s="184"/>
      <c r="C58" s="185"/>
      <c r="D58" s="185"/>
      <c r="E58" s="185"/>
      <c r="F58" s="186"/>
    </row>
    <row r="59" spans="2:13" ht="22.5" customHeight="1" x14ac:dyDescent="0.3"/>
    <row r="60" spans="2:13" x14ac:dyDescent="0.3">
      <c r="B60" s="161" t="s">
        <v>127</v>
      </c>
      <c r="C60" s="161"/>
      <c r="D60" s="161"/>
      <c r="E60" s="177"/>
      <c r="F60" s="136">
        <f>G21*F24*F25*F26</f>
        <v>0</v>
      </c>
      <c r="K60" s="10"/>
      <c r="L60" s="10"/>
      <c r="M60" s="10"/>
    </row>
    <row r="61" spans="2:13" x14ac:dyDescent="0.3">
      <c r="F61" s="1"/>
      <c r="I61" s="91"/>
      <c r="J61" s="3"/>
      <c r="K61" s="90"/>
      <c r="L61" s="10"/>
      <c r="M61" s="10"/>
    </row>
    <row r="62" spans="2:13" x14ac:dyDescent="0.3">
      <c r="B62" s="161" t="s">
        <v>140</v>
      </c>
      <c r="C62" s="161"/>
      <c r="D62" s="161"/>
      <c r="E62" s="177"/>
      <c r="F62" s="135" t="s">
        <v>166</v>
      </c>
      <c r="J62" s="3"/>
      <c r="K62" s="90"/>
      <c r="L62" s="10"/>
      <c r="M62" s="10"/>
    </row>
    <row r="63" spans="2:13" x14ac:dyDescent="0.3">
      <c r="F63" s="1"/>
    </row>
    <row r="64" spans="2:13" x14ac:dyDescent="0.3">
      <c r="B64" s="160" t="s">
        <v>155</v>
      </c>
      <c r="C64" s="160"/>
      <c r="D64" s="160"/>
      <c r="E64" s="160"/>
      <c r="F64" s="119">
        <f>VLOOKUP(F62,Tabeller!B75:C200,2,FALSE)</f>
        <v>1051</v>
      </c>
    </row>
    <row r="65" spans="2:6" x14ac:dyDescent="0.3">
      <c r="B65" s="160" t="s">
        <v>161</v>
      </c>
      <c r="C65" s="160"/>
      <c r="D65" s="160"/>
      <c r="E65" s="160"/>
      <c r="F65" s="116">
        <f>VLOOKUP(F62,Tabeller!B67:E186,4,FALSE)</f>
        <v>230</v>
      </c>
    </row>
    <row r="66" spans="2:6" x14ac:dyDescent="0.3">
      <c r="B66" s="160" t="s">
        <v>157</v>
      </c>
      <c r="C66" s="160"/>
      <c r="D66" s="160"/>
      <c r="E66" s="160"/>
      <c r="F66" s="116">
        <f>VLOOKUP(F62,Tabeller!B67:F186,5,FALSE)</f>
        <v>164</v>
      </c>
    </row>
    <row r="67" spans="2:6" x14ac:dyDescent="0.3">
      <c r="B67" s="161" t="s">
        <v>177</v>
      </c>
      <c r="C67" s="161"/>
      <c r="D67" s="161"/>
      <c r="E67" s="161"/>
      <c r="F67" s="116" t="str">
        <f>VLOOKUP(F62,Tabeller!B66:G185,6,FALSE)</f>
        <v>DN 1200</v>
      </c>
    </row>
    <row r="68" spans="2:6" x14ac:dyDescent="0.3">
      <c r="B68" s="161" t="s">
        <v>170</v>
      </c>
      <c r="C68" s="161"/>
      <c r="D68" s="161"/>
      <c r="E68" s="161"/>
      <c r="F68" s="116">
        <f>VLOOKUP(F62,Tabeller!B66:H185,7,FALSE)</f>
        <v>110</v>
      </c>
    </row>
    <row r="69" spans="2:6" x14ac:dyDescent="0.3">
      <c r="F69" s="1"/>
    </row>
    <row r="70" spans="2:6" x14ac:dyDescent="0.3">
      <c r="F70" s="1"/>
    </row>
    <row r="71" spans="2:6" x14ac:dyDescent="0.3">
      <c r="B71" s="1" t="s">
        <v>162</v>
      </c>
      <c r="F71" s="121"/>
    </row>
    <row r="72" spans="2:6" x14ac:dyDescent="0.3">
      <c r="B72" s="1" t="s">
        <v>154</v>
      </c>
      <c r="F72" s="117">
        <f>VLOOKUP(F62,Tabeller!B65:D183,3,FALSE)</f>
        <v>400</v>
      </c>
    </row>
    <row r="75" spans="2:6" x14ac:dyDescent="0.3">
      <c r="B75" s="84" t="s">
        <v>128</v>
      </c>
      <c r="C75" s="85"/>
      <c r="D75" s="85"/>
      <c r="E75" s="85"/>
      <c r="F75" s="85"/>
    </row>
    <row r="77" spans="2:6" ht="36.75" customHeight="1" x14ac:dyDescent="0.3">
      <c r="B77" s="147" t="s">
        <v>98</v>
      </c>
      <c r="C77" s="194" t="str">
        <f>C7</f>
        <v>Pr. Kjøkkenutstyr og tappekraner for fettutskiller etter NS-EN-1825-2</v>
      </c>
      <c r="D77" s="194"/>
      <c r="E77" s="194"/>
      <c r="F77" s="194"/>
    </row>
    <row r="79" spans="2:6" x14ac:dyDescent="0.3">
      <c r="B79" s="1"/>
    </row>
  </sheetData>
  <sheetProtection password="C5A6" sheet="1" selectLockedCells="1"/>
  <mergeCells count="25">
    <mergeCell ref="B9:G9"/>
    <mergeCell ref="C77:F77"/>
    <mergeCell ref="F23:G23"/>
    <mergeCell ref="F28:G28"/>
    <mergeCell ref="B28:E28"/>
    <mergeCell ref="B10:G10"/>
    <mergeCell ref="F35:G35"/>
    <mergeCell ref="F24:G24"/>
    <mergeCell ref="B25:D25"/>
    <mergeCell ref="F25:G25"/>
    <mergeCell ref="B26:D26"/>
    <mergeCell ref="F26:G26"/>
    <mergeCell ref="B21:E21"/>
    <mergeCell ref="B24:D24"/>
    <mergeCell ref="B67:E67"/>
    <mergeCell ref="B65:E65"/>
    <mergeCell ref="B68:E68"/>
    <mergeCell ref="B48:F50"/>
    <mergeCell ref="B52:F54"/>
    <mergeCell ref="B56:F58"/>
    <mergeCell ref="B44:F44"/>
    <mergeCell ref="B66:E66"/>
    <mergeCell ref="B62:E62"/>
    <mergeCell ref="B60:E60"/>
    <mergeCell ref="B64:E64"/>
  </mergeCells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0000000}">
          <x14:formula1>
            <xm:f>Tabeller!$C$36:$C$37</xm:f>
          </x14:formula1>
          <xm:sqref>C12</xm:sqref>
        </x14:dataValidation>
        <x14:dataValidation type="list" allowBlank="1" showInputMessage="1" showErrorMessage="1" xr:uid="{00000000-0002-0000-0100-000001000000}">
          <x14:formula1>
            <xm:f>Tabeller!$C$39:$C$40</xm:f>
          </x14:formula1>
          <xm:sqref>C13</xm:sqref>
        </x14:dataValidation>
        <x14:dataValidation type="list" allowBlank="1" showInputMessage="1" showErrorMessage="1" xr:uid="{00000000-0002-0000-0100-000002000000}">
          <x14:formula1>
            <xm:f>Tabeller!$C$42:$C$45</xm:f>
          </x14:formula1>
          <xm:sqref>C14</xm:sqref>
        </x14:dataValidation>
        <x14:dataValidation type="list" allowBlank="1" showInputMessage="1" showErrorMessage="1" xr:uid="{00000000-0002-0000-0100-000003000000}">
          <x14:formula1>
            <xm:f>Tabeller!$C$47:$C$48</xm:f>
          </x14:formula1>
          <xm:sqref>C15</xm:sqref>
        </x14:dataValidation>
        <x14:dataValidation type="list" allowBlank="1" showInputMessage="1" showErrorMessage="1" xr:uid="{00000000-0002-0000-0100-000004000000}">
          <x14:formula1>
            <xm:f>Tabeller!$C$53:$C$55</xm:f>
          </x14:formula1>
          <xm:sqref>C19</xm:sqref>
        </x14:dataValidation>
        <x14:dataValidation type="list" allowBlank="1" showInputMessage="1" showErrorMessage="1" xr:uid="{00000000-0002-0000-0100-000005000000}">
          <x14:formula1>
            <xm:f>Tabeller!$C$21:$C$22</xm:f>
          </x14:formula1>
          <xm:sqref>E26</xm:sqref>
        </x14:dataValidation>
        <x14:dataValidation type="list" allowBlank="1" showInputMessage="1" showErrorMessage="1" xr:uid="{00000000-0002-0000-0100-000006000000}">
          <x14:formula1>
            <xm:f>Tabeller!$C$27:$C$29</xm:f>
          </x14:formula1>
          <xm:sqref>E25</xm:sqref>
        </x14:dataValidation>
        <x14:dataValidation type="list" allowBlank="1" showInputMessage="1" showErrorMessage="1" xr:uid="{00000000-0002-0000-0100-000007000000}">
          <x14:formula1>
            <xm:f>Tabeller!$C$5:$C$6</xm:f>
          </x14:formula1>
          <xm:sqref>E24</xm:sqref>
        </x14:dataValidation>
        <x14:dataValidation type="list" allowBlank="1" showInputMessage="1" showErrorMessage="1" promptTitle="ØR fettutskiller" prompt="Velg størrelse" xr:uid="{4D39C364-5929-44A4-846C-65DFCB1C4722}">
          <x14:formula1>
            <xm:f>Tabeller!$B$75:$B$78</xm:f>
          </x14:formula1>
          <xm:sqref>F62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04"/>
  <sheetViews>
    <sheetView topLeftCell="A23" workbookViewId="0">
      <selection activeCell="B53" sqref="B53:F55"/>
    </sheetView>
  </sheetViews>
  <sheetFormatPr baseColWidth="10" defaultColWidth="8.88671875" defaultRowHeight="14.4" x14ac:dyDescent="0.3"/>
  <cols>
    <col min="3" max="3" width="8.88671875" customWidth="1"/>
    <col min="4" max="4" width="21.6640625" customWidth="1"/>
    <col min="5" max="5" width="26.21875" style="10" customWidth="1"/>
    <col min="6" max="6" width="11.88671875" customWidth="1"/>
    <col min="8" max="8" width="11.88671875" customWidth="1"/>
    <col min="9" max="9" width="20.5546875" customWidth="1"/>
    <col min="10" max="10" width="17.44140625" customWidth="1"/>
  </cols>
  <sheetData>
    <row r="1" spans="2:9" x14ac:dyDescent="0.3">
      <c r="E1" s="97"/>
    </row>
    <row r="2" spans="2:9" x14ac:dyDescent="0.3">
      <c r="E2" s="97"/>
    </row>
    <row r="3" spans="2:9" x14ac:dyDescent="0.3">
      <c r="E3" s="97"/>
    </row>
    <row r="4" spans="2:9" x14ac:dyDescent="0.3">
      <c r="E4" s="97"/>
    </row>
    <row r="5" spans="2:9" x14ac:dyDescent="0.3">
      <c r="E5" s="97"/>
    </row>
    <row r="6" spans="2:9" x14ac:dyDescent="0.3">
      <c r="E6" s="97"/>
    </row>
    <row r="7" spans="2:9" x14ac:dyDescent="0.3">
      <c r="E7" s="97"/>
    </row>
    <row r="8" spans="2:9" ht="24" customHeight="1" x14ac:dyDescent="0.35">
      <c r="B8" s="217" t="s">
        <v>97</v>
      </c>
      <c r="C8" s="218"/>
      <c r="D8" s="214" t="s">
        <v>118</v>
      </c>
      <c r="E8" s="215"/>
      <c r="F8" s="215"/>
      <c r="G8" s="216"/>
    </row>
    <row r="9" spans="2:9" ht="18" x14ac:dyDescent="0.35">
      <c r="B9" s="89"/>
      <c r="C9" s="89"/>
      <c r="D9" s="107"/>
      <c r="E9" s="107"/>
      <c r="F9" s="12"/>
      <c r="G9" s="12"/>
    </row>
    <row r="10" spans="2:9" ht="18" x14ac:dyDescent="0.35">
      <c r="B10" s="89"/>
      <c r="C10" s="89"/>
      <c r="D10" s="107"/>
      <c r="E10" s="107"/>
      <c r="F10" s="12"/>
      <c r="G10" s="12"/>
    </row>
    <row r="11" spans="2:9" x14ac:dyDescent="0.3">
      <c r="E11" s="97"/>
    </row>
    <row r="12" spans="2:9" ht="21" customHeight="1" x14ac:dyDescent="0.3">
      <c r="B12" s="51" t="s">
        <v>98</v>
      </c>
      <c r="C12" s="52"/>
      <c r="D12" s="207" t="s">
        <v>78</v>
      </c>
      <c r="E12" s="219"/>
      <c r="F12" s="219"/>
      <c r="G12" s="208"/>
    </row>
    <row r="13" spans="2:9" ht="21" customHeight="1" x14ac:dyDescent="0.3">
      <c r="B13" s="29"/>
      <c r="C13" s="29"/>
      <c r="D13" s="103"/>
      <c r="E13" s="103"/>
      <c r="F13" s="103"/>
      <c r="G13" s="103"/>
    </row>
    <row r="14" spans="2:9" ht="21" customHeight="1" x14ac:dyDescent="0.3">
      <c r="B14" s="29"/>
      <c r="C14" s="29"/>
      <c r="D14" s="103"/>
      <c r="E14" s="103"/>
      <c r="F14" s="103"/>
      <c r="G14" s="103"/>
    </row>
    <row r="15" spans="2:9" ht="21" customHeight="1" thickBot="1" x14ac:dyDescent="0.35">
      <c r="B15" s="29"/>
      <c r="C15" s="29"/>
      <c r="D15" s="103"/>
      <c r="E15" s="103"/>
      <c r="F15" s="103"/>
      <c r="G15" s="103"/>
      <c r="H15" s="104"/>
    </row>
    <row r="16" spans="2:9" ht="15" customHeight="1" thickBot="1" x14ac:dyDescent="0.35">
      <c r="B16" s="164" t="s">
        <v>144</v>
      </c>
      <c r="C16" s="165"/>
      <c r="D16" s="165"/>
      <c r="E16" s="165"/>
      <c r="F16" s="165"/>
      <c r="G16" s="166"/>
      <c r="I16" s="10"/>
    </row>
    <row r="17" spans="2:12" ht="23.25" customHeight="1" x14ac:dyDescent="0.3">
      <c r="B17" s="223" t="s">
        <v>121</v>
      </c>
      <c r="C17" s="224"/>
      <c r="D17" s="224"/>
      <c r="E17" s="224"/>
      <c r="F17" s="224"/>
      <c r="G17" s="225"/>
      <c r="L17" s="1"/>
    </row>
    <row r="18" spans="2:12" ht="20.25" customHeight="1" x14ac:dyDescent="0.3">
      <c r="B18" s="223" t="s">
        <v>99</v>
      </c>
      <c r="C18" s="224"/>
      <c r="D18" s="225"/>
      <c r="E18" s="223" t="s">
        <v>100</v>
      </c>
      <c r="F18" s="224"/>
      <c r="G18" s="225"/>
    </row>
    <row r="19" spans="2:12" ht="28.5" customHeight="1" x14ac:dyDescent="0.3">
      <c r="B19" s="173" t="s">
        <v>187</v>
      </c>
      <c r="C19" s="174"/>
      <c r="D19" s="174"/>
      <c r="E19" s="175"/>
      <c r="F19" s="205">
        <f>IF(D12=Tabeller!C60,Tabeller!D60,IF(D12=Tabeller!C61,Tabeller!D61,IF(D12=Tabeller!C62,Tabeller!D62,IF(D12=Tabeller!C63,Tabeller!D63,Tabeller!D64))))</f>
        <v>20</v>
      </c>
      <c r="G19" s="206"/>
    </row>
    <row r="20" spans="2:12" ht="28.5" customHeight="1" x14ac:dyDescent="0.3">
      <c r="B20" s="173" t="s">
        <v>188</v>
      </c>
      <c r="C20" s="174"/>
      <c r="D20" s="174"/>
      <c r="E20" s="175"/>
      <c r="F20" s="205">
        <f>IF(D12=Tabeller!C60,Tabeller!E60,IF(D12=Tabeller!C61,Tabeller!E61,IF(D12=Tabeller!C62,Tabeller!E62,IF(D12=Tabeller!C63,Tabeller!E63,IF(D12=Tabeller!C64,Tabeller!E64,Tabeller!E65)))))</f>
        <v>5</v>
      </c>
      <c r="G20" s="206"/>
    </row>
    <row r="21" spans="2:12" ht="28.5" customHeight="1" x14ac:dyDescent="0.3">
      <c r="B21" s="173" t="s">
        <v>178</v>
      </c>
      <c r="C21" s="174"/>
      <c r="D21" s="174"/>
      <c r="E21" s="175"/>
      <c r="F21" s="207">
        <v>500</v>
      </c>
      <c r="G21" s="208"/>
    </row>
    <row r="22" spans="2:12" ht="28.5" customHeight="1" x14ac:dyDescent="0.3">
      <c r="B22" s="173" t="s">
        <v>145</v>
      </c>
      <c r="C22" s="174"/>
      <c r="D22" s="174"/>
      <c r="E22" s="175"/>
      <c r="F22" s="207">
        <v>6</v>
      </c>
      <c r="G22" s="208"/>
    </row>
    <row r="23" spans="2:12" ht="28.5" customHeight="1" x14ac:dyDescent="0.3">
      <c r="B23" s="220" t="s">
        <v>119</v>
      </c>
      <c r="C23" s="221"/>
      <c r="D23" s="221"/>
      <c r="E23" s="222"/>
      <c r="F23" s="226" t="str">
        <f>MID(F21*F20*(F19/F22)/3600,1,4)&amp;" l/s"</f>
        <v>2,31 l/s</v>
      </c>
      <c r="G23" s="227"/>
      <c r="I23" s="1" t="str">
        <f>Tabeller!C9</f>
        <v>Tetthet (egenvekt ) fett og oljer</v>
      </c>
    </row>
    <row r="24" spans="2:12" ht="28.5" customHeight="1" x14ac:dyDescent="0.3">
      <c r="B24" s="63"/>
      <c r="C24" s="62"/>
      <c r="D24" s="124"/>
      <c r="E24" s="130" t="str">
        <f>Tabeller!C4</f>
        <v>Tetthet (g/cm3)</v>
      </c>
      <c r="F24" s="52" t="str">
        <f>Tabeller!D4</f>
        <v>Tetthetsfaktor (fd)</v>
      </c>
      <c r="G24" s="50"/>
      <c r="I24" s="30" t="str">
        <f>Tabeller!C10</f>
        <v>Produkt</v>
      </c>
      <c r="J24" s="53" t="str">
        <f>Tabeller!D10</f>
        <v>Tetthet (g/cm3)</v>
      </c>
    </row>
    <row r="25" spans="2:12" ht="19.5" customHeight="1" x14ac:dyDescent="0.3">
      <c r="B25" s="173" t="str">
        <f>Tabeller!C3</f>
        <v>Tetthetsfaktor for fett (fd)</v>
      </c>
      <c r="C25" s="174"/>
      <c r="D25" s="175"/>
      <c r="E25" s="133" t="s">
        <v>0</v>
      </c>
      <c r="F25" s="192">
        <f>IF(E25=Tabeller!C5,Tabeller!D5,IF(E25=Tabeller!C6,Tabeller!D6,""))</f>
        <v>1</v>
      </c>
      <c r="G25" s="193"/>
      <c r="I25" s="55" t="str">
        <f>Tabeller!C11</f>
        <v xml:space="preserve">Animalsk fett </v>
      </c>
      <c r="J25" s="58" t="str">
        <f>Tabeller!D11</f>
        <v>0,85 -0,94</v>
      </c>
    </row>
    <row r="26" spans="2:12" ht="18" customHeight="1" x14ac:dyDescent="0.3">
      <c r="B26" s="126"/>
      <c r="C26" s="127"/>
      <c r="D26" s="127"/>
      <c r="E26" s="35"/>
      <c r="F26" s="35"/>
      <c r="G26" s="61"/>
      <c r="I26" s="56" t="str">
        <f>Tabeller!C12</f>
        <v>Smørfett / olivenolje</v>
      </c>
      <c r="J26" s="59">
        <f>Tabeller!D12</f>
        <v>0.91</v>
      </c>
    </row>
    <row r="27" spans="2:12" ht="29.25" customHeight="1" x14ac:dyDescent="0.3">
      <c r="B27" s="173" t="s">
        <v>122</v>
      </c>
      <c r="C27" s="174"/>
      <c r="D27" s="175"/>
      <c r="E27" s="134" t="s">
        <v>25</v>
      </c>
      <c r="F27" s="192">
        <f>IF(E27=Tabeller!C27,Tabeller!D27,IF('Metode 3'!E27=Tabeller!C28,Tabeller!D28,IF('Metode 3'!E27=Tabeller!C29,Tabeller!D29,"")))</f>
        <v>1.3</v>
      </c>
      <c r="G27" s="193"/>
      <c r="I27" s="56" t="str">
        <f>Tabeller!C13</f>
        <v>Kokosolje / maisolje</v>
      </c>
      <c r="J27" s="59" t="str">
        <f>Tabeller!D13</f>
        <v>0,92 - 0,93</v>
      </c>
    </row>
    <row r="28" spans="2:12" ht="15" customHeight="1" x14ac:dyDescent="0.3">
      <c r="B28" s="126"/>
      <c r="C28" s="127"/>
      <c r="D28" s="127"/>
      <c r="E28" s="80"/>
      <c r="F28" s="35"/>
      <c r="G28" s="61"/>
      <c r="I28" s="56" t="str">
        <f>Tabeller!C14</f>
        <v>Fiskeolje</v>
      </c>
      <c r="J28" s="59" t="str">
        <f>Tabeller!D14</f>
        <v>0,89 - 0,94</v>
      </c>
    </row>
    <row r="29" spans="2:12" x14ac:dyDescent="0.3">
      <c r="B29" s="173" t="s">
        <v>123</v>
      </c>
      <c r="C29" s="174"/>
      <c r="D29" s="175"/>
      <c r="E29" s="133" t="s">
        <v>106</v>
      </c>
      <c r="F29" s="192">
        <f>IF(E29=Tabeller!C21,Tabeller!D21,Tabeller!D22)</f>
        <v>1</v>
      </c>
      <c r="G29" s="193"/>
      <c r="I29" s="56" t="str">
        <f>Tabeller!C15</f>
        <v>Palmeolje / rapsolje</v>
      </c>
      <c r="J29" s="59" t="str">
        <f>Tabeller!D15</f>
        <v>0,91 - 0,92</v>
      </c>
    </row>
    <row r="30" spans="2:12" ht="27.75" customHeight="1" x14ac:dyDescent="0.35">
      <c r="B30" s="106" t="s">
        <v>120</v>
      </c>
      <c r="C30" s="32"/>
      <c r="D30" s="32"/>
      <c r="E30" s="105"/>
      <c r="F30" s="210">
        <f>MID(F23,1,4)*F25*F27*F29</f>
        <v>3.0030000000000001</v>
      </c>
      <c r="G30" s="211"/>
      <c r="I30" s="57" t="str">
        <f>Tabeller!C16</f>
        <v>Vegetabilsk olje</v>
      </c>
      <c r="J30" s="60" t="str">
        <f>Tabeller!D16</f>
        <v>0,95 - 0,97</v>
      </c>
    </row>
    <row r="31" spans="2:12" ht="25.5" customHeight="1" x14ac:dyDescent="0.3">
      <c r="E31" s="97"/>
    </row>
    <row r="32" spans="2:12" x14ac:dyDescent="0.3">
      <c r="B32" t="s">
        <v>169</v>
      </c>
      <c r="E32"/>
    </row>
    <row r="33" spans="2:7" x14ac:dyDescent="0.3">
      <c r="B33" t="s">
        <v>138</v>
      </c>
      <c r="E33"/>
    </row>
    <row r="34" spans="2:7" x14ac:dyDescent="0.3">
      <c r="E34"/>
    </row>
    <row r="35" spans="2:7" x14ac:dyDescent="0.3">
      <c r="B35" t="s">
        <v>136</v>
      </c>
      <c r="E35"/>
    </row>
    <row r="36" spans="2:7" x14ac:dyDescent="0.3">
      <c r="B36" t="s">
        <v>163</v>
      </c>
      <c r="E36"/>
    </row>
    <row r="37" spans="2:7" ht="20.399999999999999" customHeight="1" x14ac:dyDescent="0.3">
      <c r="B37" s="81" t="s">
        <v>182</v>
      </c>
      <c r="C37" s="82"/>
      <c r="D37" s="82"/>
      <c r="E37" s="83"/>
      <c r="F37" s="212">
        <f>F30*100</f>
        <v>300.3</v>
      </c>
      <c r="G37" s="213"/>
    </row>
    <row r="38" spans="2:7" x14ac:dyDescent="0.3">
      <c r="E38" s="97"/>
    </row>
    <row r="39" spans="2:7" x14ac:dyDescent="0.3">
      <c r="E39" s="97"/>
    </row>
    <row r="40" spans="2:7" x14ac:dyDescent="0.3">
      <c r="E40" s="97"/>
    </row>
    <row r="41" spans="2:7" x14ac:dyDescent="0.3">
      <c r="E41" s="97"/>
    </row>
    <row r="42" spans="2:7" x14ac:dyDescent="0.3">
      <c r="E42" s="97"/>
    </row>
    <row r="43" spans="2:7" x14ac:dyDescent="0.3">
      <c r="E43" s="97"/>
    </row>
    <row r="44" spans="2:7" x14ac:dyDescent="0.3">
      <c r="E44" s="97"/>
    </row>
    <row r="45" spans="2:7" x14ac:dyDescent="0.3">
      <c r="E45" s="97"/>
    </row>
    <row r="46" spans="2:7" x14ac:dyDescent="0.3">
      <c r="E46" s="97"/>
    </row>
    <row r="47" spans="2:7" x14ac:dyDescent="0.3">
      <c r="E47" s="97"/>
    </row>
    <row r="48" spans="2:7" x14ac:dyDescent="0.3">
      <c r="E48" s="97"/>
    </row>
    <row r="49" spans="2:6" x14ac:dyDescent="0.3">
      <c r="E49"/>
    </row>
    <row r="50" spans="2:6" x14ac:dyDescent="0.3">
      <c r="B50" s="176" t="s">
        <v>164</v>
      </c>
      <c r="C50" s="176"/>
      <c r="D50" s="176"/>
      <c r="E50" s="176"/>
      <c r="F50" s="176"/>
    </row>
    <row r="51" spans="2:6" x14ac:dyDescent="0.3">
      <c r="E51"/>
    </row>
    <row r="52" spans="2:6" x14ac:dyDescent="0.3">
      <c r="B52" s="1" t="s">
        <v>124</v>
      </c>
      <c r="E52"/>
    </row>
    <row r="53" spans="2:6" x14ac:dyDescent="0.3">
      <c r="B53" s="178"/>
      <c r="C53" s="179"/>
      <c r="D53" s="179"/>
      <c r="E53" s="179"/>
      <c r="F53" s="180"/>
    </row>
    <row r="54" spans="2:6" x14ac:dyDescent="0.3">
      <c r="B54" s="181"/>
      <c r="C54" s="182"/>
      <c r="D54" s="182"/>
      <c r="E54" s="182"/>
      <c r="F54" s="183"/>
    </row>
    <row r="55" spans="2:6" x14ac:dyDescent="0.3">
      <c r="B55" s="184"/>
      <c r="C55" s="185"/>
      <c r="D55" s="185"/>
      <c r="E55" s="185"/>
      <c r="F55" s="186"/>
    </row>
    <row r="56" spans="2:6" x14ac:dyDescent="0.3">
      <c r="B56" s="1" t="s">
        <v>125</v>
      </c>
      <c r="E56"/>
    </row>
    <row r="57" spans="2:6" x14ac:dyDescent="0.3">
      <c r="B57" s="178"/>
      <c r="C57" s="179"/>
      <c r="D57" s="179"/>
      <c r="E57" s="179"/>
      <c r="F57" s="180"/>
    </row>
    <row r="58" spans="2:6" x14ac:dyDescent="0.3">
      <c r="B58" s="181"/>
      <c r="C58" s="182"/>
      <c r="D58" s="182"/>
      <c r="E58" s="182"/>
      <c r="F58" s="183"/>
    </row>
    <row r="59" spans="2:6" x14ac:dyDescent="0.3">
      <c r="B59" s="184"/>
      <c r="C59" s="185"/>
      <c r="D59" s="185"/>
      <c r="E59" s="185"/>
      <c r="F59" s="186"/>
    </row>
    <row r="60" spans="2:6" x14ac:dyDescent="0.3">
      <c r="B60" s="1" t="s">
        <v>126</v>
      </c>
      <c r="E60"/>
    </row>
    <row r="61" spans="2:6" x14ac:dyDescent="0.3">
      <c r="B61" s="178"/>
      <c r="C61" s="179"/>
      <c r="D61" s="179"/>
      <c r="E61" s="179"/>
      <c r="F61" s="180"/>
    </row>
    <row r="62" spans="2:6" x14ac:dyDescent="0.3">
      <c r="B62" s="181"/>
      <c r="C62" s="182"/>
      <c r="D62" s="182"/>
      <c r="E62" s="182"/>
      <c r="F62" s="183"/>
    </row>
    <row r="63" spans="2:6" x14ac:dyDescent="0.3">
      <c r="B63" s="184"/>
      <c r="C63" s="185"/>
      <c r="D63" s="185"/>
      <c r="E63" s="185"/>
      <c r="F63" s="186"/>
    </row>
    <row r="64" spans="2:6" x14ac:dyDescent="0.3">
      <c r="E64"/>
    </row>
    <row r="65" spans="2:6" x14ac:dyDescent="0.3">
      <c r="E65"/>
    </row>
    <row r="66" spans="2:6" x14ac:dyDescent="0.3">
      <c r="B66" s="161" t="s">
        <v>127</v>
      </c>
      <c r="C66" s="161"/>
      <c r="D66" s="161"/>
      <c r="E66" s="177"/>
      <c r="F66" s="136">
        <f>F30</f>
        <v>3.0030000000000001</v>
      </c>
    </row>
    <row r="67" spans="2:6" x14ac:dyDescent="0.3">
      <c r="C67" s="1" t="s">
        <v>183</v>
      </c>
      <c r="D67" s="1"/>
      <c r="E67" s="1"/>
      <c r="F67" s="1"/>
    </row>
    <row r="68" spans="2:6" x14ac:dyDescent="0.3">
      <c r="B68" s="161" t="s">
        <v>140</v>
      </c>
      <c r="C68" s="161"/>
      <c r="D68" s="161"/>
      <c r="E68" s="177"/>
      <c r="F68" s="135" t="s">
        <v>166</v>
      </c>
    </row>
    <row r="69" spans="2:6" x14ac:dyDescent="0.3">
      <c r="E69"/>
      <c r="F69" s="1"/>
    </row>
    <row r="70" spans="2:6" x14ac:dyDescent="0.3">
      <c r="B70" s="160" t="s">
        <v>155</v>
      </c>
      <c r="C70" s="160"/>
      <c r="D70" s="160"/>
      <c r="E70" s="160"/>
      <c r="F70" s="116">
        <f>VLOOKUP(F68,Tabeller!B71:C189,2,FALSE)</f>
        <v>1051</v>
      </c>
    </row>
    <row r="71" spans="2:6" x14ac:dyDescent="0.3">
      <c r="B71" s="160" t="s">
        <v>161</v>
      </c>
      <c r="C71" s="160"/>
      <c r="D71" s="160"/>
      <c r="E71" s="160"/>
      <c r="F71" s="116">
        <f>VLOOKUP(F68,Tabeller!B72:E191,4,FALSE)</f>
        <v>230</v>
      </c>
    </row>
    <row r="72" spans="2:6" x14ac:dyDescent="0.3">
      <c r="B72" s="160" t="s">
        <v>157</v>
      </c>
      <c r="C72" s="160"/>
      <c r="D72" s="160"/>
      <c r="E72" s="160"/>
      <c r="F72" s="116">
        <f>VLOOKUP(F68,Tabeller!B72:F191,5,FALSE)</f>
        <v>164</v>
      </c>
    </row>
    <row r="73" spans="2:6" x14ac:dyDescent="0.3">
      <c r="B73" s="161" t="s">
        <v>177</v>
      </c>
      <c r="C73" s="161"/>
      <c r="D73" s="161"/>
      <c r="E73" s="161"/>
      <c r="F73" s="116" t="str">
        <f>VLOOKUP(F68,Tabeller!B71:G190,6,FALSE)</f>
        <v>DN 1200</v>
      </c>
    </row>
    <row r="74" spans="2:6" x14ac:dyDescent="0.3">
      <c r="B74" s="161" t="s">
        <v>170</v>
      </c>
      <c r="C74" s="161"/>
      <c r="D74" s="161"/>
      <c r="E74" s="161"/>
      <c r="F74" s="116">
        <f>VLOOKUP(F68,Tabeller!B71:H190,7,FALSE)</f>
        <v>110</v>
      </c>
    </row>
    <row r="75" spans="2:6" x14ac:dyDescent="0.3">
      <c r="E75"/>
      <c r="F75" s="1"/>
    </row>
    <row r="76" spans="2:6" x14ac:dyDescent="0.3">
      <c r="E76"/>
      <c r="F76" s="1"/>
    </row>
    <row r="77" spans="2:6" x14ac:dyDescent="0.3">
      <c r="B77" s="1" t="s">
        <v>162</v>
      </c>
      <c r="E77"/>
      <c r="F77" s="121"/>
    </row>
    <row r="78" spans="2:6" x14ac:dyDescent="0.3">
      <c r="B78" s="1" t="s">
        <v>154</v>
      </c>
      <c r="E78"/>
      <c r="F78" s="117">
        <f>VLOOKUP(F68,Tabeller!B71:D189,3,FALSE)</f>
        <v>400</v>
      </c>
    </row>
    <row r="79" spans="2:6" x14ac:dyDescent="0.3">
      <c r="E79"/>
    </row>
    <row r="80" spans="2:6" x14ac:dyDescent="0.3">
      <c r="E80"/>
    </row>
    <row r="81" spans="2:9" x14ac:dyDescent="0.3">
      <c r="E81"/>
    </row>
    <row r="82" spans="2:9" x14ac:dyDescent="0.3">
      <c r="E82"/>
    </row>
    <row r="83" spans="2:9" x14ac:dyDescent="0.3">
      <c r="E83"/>
    </row>
    <row r="84" spans="2:9" x14ac:dyDescent="0.3">
      <c r="B84" s="84" t="s">
        <v>128</v>
      </c>
      <c r="C84" s="85"/>
      <c r="D84" s="85"/>
      <c r="E84" s="85"/>
      <c r="F84" s="12"/>
    </row>
    <row r="85" spans="2:9" x14ac:dyDescent="0.3">
      <c r="E85"/>
    </row>
    <row r="86" spans="2:9" x14ac:dyDescent="0.3">
      <c r="B86" s="107"/>
      <c r="C86" s="107"/>
      <c r="D86" s="146" t="s">
        <v>98</v>
      </c>
      <c r="E86" s="141" t="str">
        <f>D12</f>
        <v>Kantine</v>
      </c>
      <c r="H86" s="12"/>
      <c r="I86" s="12"/>
    </row>
    <row r="87" spans="2:9" x14ac:dyDescent="0.3">
      <c r="B87" s="3"/>
      <c r="C87" s="3"/>
      <c r="D87" s="3"/>
      <c r="E87" s="97"/>
      <c r="H87" s="12"/>
      <c r="I87" s="12"/>
    </row>
    <row r="88" spans="2:9" x14ac:dyDescent="0.3">
      <c r="B88" s="107"/>
      <c r="C88" s="107"/>
      <c r="D88" s="146" t="s">
        <v>180</v>
      </c>
      <c r="E88" s="141">
        <f>F21</f>
        <v>500</v>
      </c>
      <c r="F88" s="12"/>
      <c r="H88" s="12"/>
      <c r="I88" s="12"/>
    </row>
    <row r="89" spans="2:9" x14ac:dyDescent="0.3">
      <c r="B89" s="144"/>
      <c r="C89" s="3"/>
      <c r="D89" s="3"/>
      <c r="E89"/>
      <c r="F89" s="12"/>
      <c r="H89" s="12"/>
      <c r="I89" s="12"/>
    </row>
    <row r="90" spans="2:9" x14ac:dyDescent="0.3">
      <c r="B90" s="107"/>
      <c r="C90" s="107"/>
      <c r="D90" s="146" t="s">
        <v>181</v>
      </c>
      <c r="E90" s="141">
        <f>F22</f>
        <v>6</v>
      </c>
      <c r="F90" s="140"/>
      <c r="H90" s="98"/>
      <c r="I90" s="12"/>
    </row>
    <row r="91" spans="2:9" x14ac:dyDescent="0.3">
      <c r="B91" s="3"/>
      <c r="C91" s="3"/>
      <c r="D91" s="3"/>
      <c r="E91" s="142"/>
      <c r="F91" s="140"/>
      <c r="H91" s="98"/>
      <c r="I91" s="12"/>
    </row>
    <row r="92" spans="2:9" x14ac:dyDescent="0.3">
      <c r="B92" s="209"/>
      <c r="C92" s="209"/>
      <c r="D92" s="209"/>
      <c r="E92" s="142"/>
      <c r="F92" s="140"/>
      <c r="H92" s="145"/>
      <c r="I92" s="12"/>
    </row>
    <row r="93" spans="2:9" x14ac:dyDescent="0.3">
      <c r="E93" s="142"/>
      <c r="F93" s="204"/>
      <c r="G93" s="204"/>
      <c r="H93" s="204"/>
    </row>
    <row r="94" spans="2:9" x14ac:dyDescent="0.3">
      <c r="E94" s="86"/>
    </row>
    <row r="95" spans="2:9" x14ac:dyDescent="0.3">
      <c r="E95" s="97"/>
    </row>
    <row r="96" spans="2:9" x14ac:dyDescent="0.3">
      <c r="E96" s="97"/>
    </row>
    <row r="97" spans="5:5" x14ac:dyDescent="0.3">
      <c r="E97" s="97"/>
    </row>
    <row r="98" spans="5:5" x14ac:dyDescent="0.3">
      <c r="E98" s="97"/>
    </row>
    <row r="99" spans="5:5" x14ac:dyDescent="0.3">
      <c r="E99" s="97"/>
    </row>
    <row r="100" spans="5:5" x14ac:dyDescent="0.3">
      <c r="E100" s="97"/>
    </row>
    <row r="101" spans="5:5" x14ac:dyDescent="0.3">
      <c r="E101" s="97"/>
    </row>
    <row r="102" spans="5:5" x14ac:dyDescent="0.3">
      <c r="E102" s="97"/>
    </row>
    <row r="103" spans="5:5" x14ac:dyDescent="0.3">
      <c r="E103" s="97"/>
    </row>
    <row r="104" spans="5:5" x14ac:dyDescent="0.3">
      <c r="E104" s="97"/>
    </row>
  </sheetData>
  <sheetProtection password="C5A6" sheet="1" objects="1" scenarios="1" selectLockedCells="1"/>
  <mergeCells count="38">
    <mergeCell ref="B73:E73"/>
    <mergeCell ref="D12:G12"/>
    <mergeCell ref="B23:E23"/>
    <mergeCell ref="B17:G17"/>
    <mergeCell ref="B16:G16"/>
    <mergeCell ref="F25:G25"/>
    <mergeCell ref="F27:G27"/>
    <mergeCell ref="F22:G22"/>
    <mergeCell ref="F23:G23"/>
    <mergeCell ref="B18:D18"/>
    <mergeCell ref="E18:G18"/>
    <mergeCell ref="B27:D27"/>
    <mergeCell ref="D8:G8"/>
    <mergeCell ref="B70:E70"/>
    <mergeCell ref="B71:E71"/>
    <mergeCell ref="B72:E72"/>
    <mergeCell ref="B8:C8"/>
    <mergeCell ref="F19:G19"/>
    <mergeCell ref="B19:E19"/>
    <mergeCell ref="B20:E20"/>
    <mergeCell ref="B21:E21"/>
    <mergeCell ref="B25:D25"/>
    <mergeCell ref="F93:H93"/>
    <mergeCell ref="F20:G20"/>
    <mergeCell ref="F21:G21"/>
    <mergeCell ref="B22:E22"/>
    <mergeCell ref="B50:F50"/>
    <mergeCell ref="B66:E66"/>
    <mergeCell ref="B68:E68"/>
    <mergeCell ref="B74:E74"/>
    <mergeCell ref="B53:F55"/>
    <mergeCell ref="B57:F59"/>
    <mergeCell ref="B61:F63"/>
    <mergeCell ref="B92:D92"/>
    <mergeCell ref="F30:G30"/>
    <mergeCell ref="F29:G29"/>
    <mergeCell ref="B29:D29"/>
    <mergeCell ref="F37:G37"/>
  </mergeCells>
  <dataValidations count="1">
    <dataValidation type="list" allowBlank="1" showInputMessage="1" showErrorMessage="1" sqref="F22:G22" xr:uid="{00000000-0002-0000-0200-000000000000}">
      <formula1>"6,8,10,12,14,16"</formula1>
    </dataValidation>
  </dataValidations>
  <pageMargins left="0.7" right="0.7" top="0.75" bottom="0.75" header="0.3" footer="0.3"/>
  <pageSetup paperSize="9" scale="88" fitToHeight="0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Tabeller!$C$60:$C$64</xm:f>
          </x14:formula1>
          <xm:sqref>D12:D15</xm:sqref>
        </x14:dataValidation>
        <x14:dataValidation type="list" allowBlank="1" showInputMessage="1" showErrorMessage="1" xr:uid="{00000000-0002-0000-0200-000002000000}">
          <x14:formula1>
            <xm:f>Tabeller!$C$5:$C$6</xm:f>
          </x14:formula1>
          <xm:sqref>E25</xm:sqref>
        </x14:dataValidation>
        <x14:dataValidation type="list" allowBlank="1" showInputMessage="1" showErrorMessage="1" xr:uid="{00000000-0002-0000-0200-000003000000}">
          <x14:formula1>
            <xm:f>Tabeller!$C$27:$C$29</xm:f>
          </x14:formula1>
          <xm:sqref>E27</xm:sqref>
        </x14:dataValidation>
        <x14:dataValidation type="list" allowBlank="1" showInputMessage="1" showErrorMessage="1" xr:uid="{00000000-0002-0000-0200-000004000000}">
          <x14:formula1>
            <xm:f>Tabeller!$C$21:$C$22</xm:f>
          </x14:formula1>
          <xm:sqref>E29</xm:sqref>
        </x14:dataValidation>
        <x14:dataValidation type="list" allowBlank="1" showInputMessage="1" showErrorMessage="1" promptTitle="ØR fettutskiller" prompt="Velg størrelse" xr:uid="{17E098EE-33F1-4752-9EC1-1911EF3C8B74}">
          <x14:formula1>
            <xm:f>Tabeller!$B$75:$B$78</xm:f>
          </x14:formula1>
          <xm:sqref>F68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H92"/>
  <sheetViews>
    <sheetView topLeftCell="A7" workbookViewId="0">
      <selection activeCell="B54" sqref="B54:F56"/>
    </sheetView>
  </sheetViews>
  <sheetFormatPr baseColWidth="10" defaultColWidth="8.88671875" defaultRowHeight="14.4" x14ac:dyDescent="0.3"/>
  <cols>
    <col min="2" max="2" width="9.109375" style="69" customWidth="1"/>
    <col min="3" max="3" width="16.33203125" customWidth="1"/>
    <col min="4" max="4" width="14" customWidth="1"/>
    <col min="5" max="5" width="18.6640625" customWidth="1"/>
    <col min="6" max="6" width="20" customWidth="1"/>
    <col min="7" max="7" width="9.33203125" customWidth="1"/>
  </cols>
  <sheetData>
    <row r="8" spans="2:7" ht="20.25" customHeight="1" x14ac:dyDescent="0.35">
      <c r="B8" s="74" t="s">
        <v>114</v>
      </c>
      <c r="C8" s="73"/>
      <c r="D8" s="237" t="s">
        <v>146</v>
      </c>
      <c r="E8" s="238"/>
      <c r="F8" s="238"/>
      <c r="G8" s="239"/>
    </row>
    <row r="9" spans="2:7" ht="18" x14ac:dyDescent="0.35">
      <c r="B9" s="108"/>
      <c r="C9" s="108"/>
      <c r="D9" s="128"/>
      <c r="E9" s="128"/>
      <c r="F9" s="128"/>
      <c r="G9" s="128"/>
    </row>
    <row r="10" spans="2:7" ht="16.2" customHeight="1" thickBot="1" x14ac:dyDescent="0.4">
      <c r="B10" s="108"/>
      <c r="C10" s="108"/>
      <c r="D10" s="128"/>
      <c r="E10" s="128"/>
      <c r="F10" s="128"/>
      <c r="G10" s="128"/>
    </row>
    <row r="11" spans="2:7" ht="19.2" customHeight="1" thickBot="1" x14ac:dyDescent="0.35">
      <c r="B11" s="164" t="s">
        <v>144</v>
      </c>
      <c r="C11" s="165"/>
      <c r="D11" s="165"/>
      <c r="E11" s="165"/>
      <c r="F11" s="165"/>
      <c r="G11" s="166"/>
    </row>
    <row r="12" spans="2:7" ht="23.25" customHeight="1" x14ac:dyDescent="0.3">
      <c r="B12" s="231" t="s">
        <v>179</v>
      </c>
      <c r="C12" s="231"/>
      <c r="D12" s="173"/>
      <c r="E12" s="50"/>
      <c r="F12" s="207">
        <v>10</v>
      </c>
      <c r="G12" s="208"/>
    </row>
    <row r="13" spans="2:7" ht="23.25" customHeight="1" x14ac:dyDescent="0.3">
      <c r="B13" s="123" t="s">
        <v>109</v>
      </c>
      <c r="C13" s="124"/>
      <c r="D13" s="124"/>
      <c r="E13" s="53"/>
    </row>
    <row r="14" spans="2:7" ht="23.25" customHeight="1" x14ac:dyDescent="0.3">
      <c r="B14" s="173" t="s">
        <v>110</v>
      </c>
      <c r="C14" s="174"/>
      <c r="D14" s="77"/>
      <c r="E14" s="78"/>
    </row>
    <row r="15" spans="2:7" ht="34.5" customHeight="1" x14ac:dyDescent="0.3">
      <c r="B15" s="229" t="s">
        <v>108</v>
      </c>
      <c r="C15" s="230"/>
      <c r="D15" s="190" t="s">
        <v>88</v>
      </c>
      <c r="E15" s="191"/>
      <c r="F15" s="240" t="str">
        <f>Tabeller!E68</f>
        <v>Vannforbruk pr. Kg. kjøttprodukt (Vp) [liter]</v>
      </c>
      <c r="G15" s="240"/>
    </row>
    <row r="16" spans="2:7" ht="29.25" customHeight="1" x14ac:dyDescent="0.3">
      <c r="B16" s="232" t="s">
        <v>87</v>
      </c>
      <c r="C16" s="233"/>
      <c r="D16" s="234">
        <f>IF(B16=Tabeller!C69,Tabeller!D69,IF(B16=Tabeller!C70,Tabeller!D70,IF(B16=Tabeller!C71,Tabeller!D71,"")))</f>
        <v>40</v>
      </c>
      <c r="E16" s="234"/>
      <c r="F16" s="241">
        <f>IF(B16=Tabeller!C69,Tabeller!E69,IF(B16=Tabeller!C70,Tabeller!E70,IF(B16=Tabeller!C71,Tabeller!E71,"")))</f>
        <v>10</v>
      </c>
      <c r="G16" s="241"/>
    </row>
    <row r="17" spans="1:8" ht="24" customHeight="1" x14ac:dyDescent="0.3">
      <c r="B17" s="70" t="s">
        <v>116</v>
      </c>
      <c r="C17" s="52"/>
      <c r="D17" s="32"/>
      <c r="E17" s="2"/>
      <c r="F17" s="207">
        <v>8</v>
      </c>
      <c r="G17" s="208"/>
    </row>
    <row r="18" spans="1:8" ht="24" customHeight="1" x14ac:dyDescent="0.3">
      <c r="B18" s="70" t="s">
        <v>115</v>
      </c>
      <c r="C18" s="52"/>
      <c r="D18" s="65"/>
      <c r="E18" s="52"/>
      <c r="F18" s="242">
        <f>F17*100/5</f>
        <v>160</v>
      </c>
      <c r="G18" s="243"/>
    </row>
    <row r="19" spans="1:8" ht="21" customHeight="1" x14ac:dyDescent="0.3">
      <c r="B19" s="71" t="s">
        <v>111</v>
      </c>
      <c r="C19" s="14"/>
      <c r="D19" s="14"/>
      <c r="E19" s="14"/>
      <c r="F19" s="12"/>
      <c r="G19" s="14"/>
    </row>
    <row r="20" spans="1:8" s="1" customFormat="1" ht="26.25" customHeight="1" x14ac:dyDescent="0.3">
      <c r="B20" s="70" t="s">
        <v>142</v>
      </c>
      <c r="C20" s="52"/>
      <c r="D20" s="52"/>
      <c r="E20" s="53"/>
      <c r="F20" s="226">
        <f>F16*F18*D16/3600/F12</f>
        <v>1.7777777777777779</v>
      </c>
      <c r="G20" s="227"/>
    </row>
    <row r="22" spans="1:8" x14ac:dyDescent="0.3">
      <c r="B22" s="235"/>
      <c r="C22" s="235"/>
      <c r="D22" s="235"/>
      <c r="E22" s="72"/>
      <c r="F22" s="236"/>
      <c r="G22" s="236"/>
    </row>
    <row r="23" spans="1:8" x14ac:dyDescent="0.3">
      <c r="B23" s="76"/>
      <c r="C23" s="76"/>
      <c r="D23" s="79"/>
      <c r="E23" s="75" t="s">
        <v>117</v>
      </c>
      <c r="F23" s="190" t="s">
        <v>107</v>
      </c>
      <c r="G23" s="191"/>
    </row>
    <row r="24" spans="1:8" x14ac:dyDescent="0.3">
      <c r="A24" t="s">
        <v>35</v>
      </c>
      <c r="B24" s="173" t="str">
        <f>Tabeller!C3</f>
        <v>Tetthetsfaktor for fett (fd)</v>
      </c>
      <c r="C24" s="174"/>
      <c r="D24" s="175"/>
      <c r="E24" s="133" t="s">
        <v>0</v>
      </c>
      <c r="F24" s="192">
        <f>IF(E24=Tabeller!C5,Tabeller!D5,IF(E24=Tabeller!C6,Tabeller!D6,""))</f>
        <v>1</v>
      </c>
      <c r="G24" s="193"/>
    </row>
    <row r="25" spans="1:8" ht="28.8" x14ac:dyDescent="0.3">
      <c r="A25" t="s">
        <v>34</v>
      </c>
      <c r="B25" s="173" t="str">
        <f>Tabeller!C26&amp;"  (fr)"</f>
        <v>Bruk av vaske-/rengjøringsmidler  (fr)</v>
      </c>
      <c r="C25" s="174"/>
      <c r="D25" s="175"/>
      <c r="E25" s="134" t="s">
        <v>25</v>
      </c>
      <c r="F25" s="192">
        <f>IF(E25=Tabeller!C27,Tabeller!D27,IF(E25=Tabeller!C28,Tabeller!D28,IF(E25=Tabeller!C29,Tabeller!D29,"")))</f>
        <v>1.3</v>
      </c>
      <c r="G25" s="193"/>
    </row>
    <row r="26" spans="1:8" x14ac:dyDescent="0.3">
      <c r="A26" t="s">
        <v>36</v>
      </c>
      <c r="B26" s="173" t="str">
        <f>Tabeller!C20&amp;"  (ft)"</f>
        <v>Temperatur på avløpsvann ved innløp  (ft)</v>
      </c>
      <c r="C26" s="174"/>
      <c r="D26" s="175"/>
      <c r="E26" s="134" t="s">
        <v>106</v>
      </c>
      <c r="F26" s="192">
        <f>IF(E26=Tabeller!C21,Tabeller!D21,Tabeller!D22)</f>
        <v>1</v>
      </c>
      <c r="G26" s="193"/>
    </row>
    <row r="27" spans="1:8" x14ac:dyDescent="0.3">
      <c r="B27" s="109"/>
      <c r="C27" s="109"/>
      <c r="D27" s="109"/>
      <c r="E27" s="110"/>
      <c r="F27" s="111"/>
      <c r="G27" s="111"/>
    </row>
    <row r="28" spans="1:8" x14ac:dyDescent="0.3">
      <c r="B28" s="109"/>
      <c r="C28" s="109"/>
      <c r="D28" s="109"/>
      <c r="E28" s="110"/>
      <c r="F28" s="111"/>
      <c r="G28" s="111"/>
    </row>
    <row r="29" spans="1:8" x14ac:dyDescent="0.3">
      <c r="B29" s="112"/>
      <c r="C29" s="104"/>
      <c r="D29" s="104"/>
      <c r="E29" s="104"/>
      <c r="F29" s="104"/>
      <c r="G29" s="104"/>
    </row>
    <row r="30" spans="1:8" x14ac:dyDescent="0.3">
      <c r="B30" s="69" t="s">
        <v>112</v>
      </c>
    </row>
    <row r="31" spans="1:8" ht="17.25" customHeight="1" x14ac:dyDescent="0.35">
      <c r="B31" s="167" t="s">
        <v>95</v>
      </c>
      <c r="C31" s="168"/>
      <c r="D31" s="168"/>
      <c r="E31" s="169"/>
      <c r="F31" s="210">
        <f>F20*F24*F25*F26</f>
        <v>2.3111111111111113</v>
      </c>
      <c r="G31" s="211"/>
    </row>
    <row r="32" spans="1:8" ht="17.25" customHeight="1" x14ac:dyDescent="0.35">
      <c r="B32" s="113"/>
      <c r="C32" s="113"/>
      <c r="D32" s="113"/>
      <c r="E32" s="113"/>
      <c r="F32" s="114"/>
      <c r="G32" s="114"/>
      <c r="H32" s="104"/>
    </row>
    <row r="33" spans="2:8" ht="17.25" customHeight="1" x14ac:dyDescent="0.35">
      <c r="B33" s="113"/>
      <c r="C33" s="113"/>
      <c r="D33" s="113"/>
      <c r="E33" s="113"/>
      <c r="F33" s="114"/>
      <c r="G33" s="114"/>
      <c r="H33" s="104"/>
    </row>
    <row r="34" spans="2:8" x14ac:dyDescent="0.3">
      <c r="B34" t="s">
        <v>137</v>
      </c>
      <c r="C34" s="104"/>
      <c r="D34" s="104"/>
      <c r="E34" s="104"/>
      <c r="F34" s="104"/>
      <c r="G34" s="104"/>
      <c r="H34" s="104"/>
    </row>
    <row r="35" spans="2:8" x14ac:dyDescent="0.3">
      <c r="B35" t="s">
        <v>138</v>
      </c>
    </row>
    <row r="36" spans="2:8" x14ac:dyDescent="0.3">
      <c r="B36"/>
    </row>
    <row r="37" spans="2:8" x14ac:dyDescent="0.3">
      <c r="B37" t="s">
        <v>147</v>
      </c>
    </row>
    <row r="38" spans="2:8" x14ac:dyDescent="0.3">
      <c r="B38" t="s">
        <v>163</v>
      </c>
    </row>
    <row r="39" spans="2:8" x14ac:dyDescent="0.3">
      <c r="B39" s="81" t="s">
        <v>184</v>
      </c>
      <c r="C39" s="82"/>
      <c r="D39" s="82"/>
      <c r="E39" s="83"/>
      <c r="F39" s="212">
        <f>F31*200</f>
        <v>462.22222222222229</v>
      </c>
      <c r="G39" s="213"/>
    </row>
    <row r="40" spans="2:8" x14ac:dyDescent="0.3">
      <c r="B40" s="29"/>
      <c r="C40" s="28"/>
      <c r="D40" s="28"/>
      <c r="E40" s="28"/>
      <c r="F40" s="120"/>
      <c r="G40" s="120"/>
    </row>
    <row r="41" spans="2:8" x14ac:dyDescent="0.3">
      <c r="B41" s="29"/>
      <c r="C41" s="28"/>
      <c r="D41" s="28"/>
      <c r="E41" s="28"/>
      <c r="F41" s="120"/>
      <c r="G41" s="120"/>
    </row>
    <row r="42" spans="2:8" x14ac:dyDescent="0.3">
      <c r="B42" s="29"/>
      <c r="C42" s="28"/>
      <c r="D42" s="28"/>
      <c r="E42" s="28"/>
      <c r="F42" s="120"/>
      <c r="G42" s="120"/>
    </row>
    <row r="51" spans="2:6" x14ac:dyDescent="0.3">
      <c r="B51" s="176" t="s">
        <v>164</v>
      </c>
      <c r="C51" s="176"/>
      <c r="D51" s="176"/>
      <c r="E51" s="176"/>
      <c r="F51" s="176"/>
    </row>
    <row r="52" spans="2:6" x14ac:dyDescent="0.3">
      <c r="B52"/>
    </row>
    <row r="53" spans="2:6" x14ac:dyDescent="0.3">
      <c r="B53" s="1" t="s">
        <v>124</v>
      </c>
    </row>
    <row r="54" spans="2:6" x14ac:dyDescent="0.3">
      <c r="B54" s="178"/>
      <c r="C54" s="179"/>
      <c r="D54" s="179"/>
      <c r="E54" s="179"/>
      <c r="F54" s="180"/>
    </row>
    <row r="55" spans="2:6" x14ac:dyDescent="0.3">
      <c r="B55" s="181"/>
      <c r="C55" s="182"/>
      <c r="D55" s="182"/>
      <c r="E55" s="182"/>
      <c r="F55" s="183"/>
    </row>
    <row r="56" spans="2:6" x14ac:dyDescent="0.3">
      <c r="B56" s="184"/>
      <c r="C56" s="185"/>
      <c r="D56" s="185"/>
      <c r="E56" s="185"/>
      <c r="F56" s="186"/>
    </row>
    <row r="57" spans="2:6" x14ac:dyDescent="0.3">
      <c r="B57" s="1" t="s">
        <v>125</v>
      </c>
    </row>
    <row r="58" spans="2:6" x14ac:dyDescent="0.3">
      <c r="B58" s="178"/>
      <c r="C58" s="179"/>
      <c r="D58" s="179"/>
      <c r="E58" s="179"/>
      <c r="F58" s="180"/>
    </row>
    <row r="59" spans="2:6" x14ac:dyDescent="0.3">
      <c r="B59" s="181"/>
      <c r="C59" s="182"/>
      <c r="D59" s="182"/>
      <c r="E59" s="182"/>
      <c r="F59" s="183"/>
    </row>
    <row r="60" spans="2:6" x14ac:dyDescent="0.3">
      <c r="B60" s="184"/>
      <c r="C60" s="185"/>
      <c r="D60" s="185"/>
      <c r="E60" s="185"/>
      <c r="F60" s="186"/>
    </row>
    <row r="61" spans="2:6" x14ac:dyDescent="0.3">
      <c r="B61" s="1" t="s">
        <v>126</v>
      </c>
    </row>
    <row r="62" spans="2:6" x14ac:dyDescent="0.3">
      <c r="B62" s="178"/>
      <c r="C62" s="179"/>
      <c r="D62" s="179"/>
      <c r="E62" s="179"/>
      <c r="F62" s="180"/>
    </row>
    <row r="63" spans="2:6" x14ac:dyDescent="0.3">
      <c r="B63" s="181"/>
      <c r="C63" s="182"/>
      <c r="D63" s="182"/>
      <c r="E63" s="182"/>
      <c r="F63" s="183"/>
    </row>
    <row r="64" spans="2:6" x14ac:dyDescent="0.3">
      <c r="B64" s="184"/>
      <c r="C64" s="185"/>
      <c r="D64" s="185"/>
      <c r="E64" s="185"/>
      <c r="F64" s="186"/>
    </row>
    <row r="65" spans="2:6" x14ac:dyDescent="0.3">
      <c r="B65"/>
    </row>
    <row r="67" spans="2:6" x14ac:dyDescent="0.3">
      <c r="B67" s="161" t="s">
        <v>165</v>
      </c>
      <c r="C67" s="161"/>
      <c r="D67" s="161"/>
      <c r="E67" s="177"/>
      <c r="F67" s="136">
        <f>F31</f>
        <v>2.3111111111111113</v>
      </c>
    </row>
    <row r="68" spans="2:6" x14ac:dyDescent="0.3">
      <c r="B68" s="1" t="s">
        <v>183</v>
      </c>
      <c r="C68" s="1"/>
      <c r="D68" s="1"/>
      <c r="E68" s="1"/>
      <c r="F68" s="121"/>
    </row>
    <row r="69" spans="2:6" x14ac:dyDescent="0.3">
      <c r="B69" s="161" t="s">
        <v>156</v>
      </c>
      <c r="C69" s="161"/>
      <c r="D69" s="161"/>
      <c r="E69" s="177"/>
      <c r="F69" s="135" t="s">
        <v>166</v>
      </c>
    </row>
    <row r="70" spans="2:6" x14ac:dyDescent="0.3">
      <c r="B70"/>
      <c r="F70" s="121"/>
    </row>
    <row r="71" spans="2:6" x14ac:dyDescent="0.3">
      <c r="B71" s="160" t="s">
        <v>155</v>
      </c>
      <c r="C71" s="160"/>
      <c r="D71" s="160"/>
      <c r="E71" s="160"/>
      <c r="F71" s="116">
        <f>VLOOKUP(F69,Tabeller!B74:C192,2,FALSE)</f>
        <v>1051</v>
      </c>
    </row>
    <row r="72" spans="2:6" x14ac:dyDescent="0.3">
      <c r="B72" s="160" t="s">
        <v>161</v>
      </c>
      <c r="C72" s="160"/>
      <c r="D72" s="160"/>
      <c r="E72" s="160"/>
      <c r="F72" s="116">
        <f>VLOOKUP(F69,Tabeller!B74:E193,4,FALSE)</f>
        <v>230</v>
      </c>
    </row>
    <row r="73" spans="2:6" x14ac:dyDescent="0.3">
      <c r="B73" s="160" t="s">
        <v>157</v>
      </c>
      <c r="C73" s="160"/>
      <c r="D73" s="160"/>
      <c r="E73" s="160"/>
      <c r="F73" s="116">
        <f>VLOOKUP(F69,Tabeller!B74:F193,5,FALSE)</f>
        <v>164</v>
      </c>
    </row>
    <row r="74" spans="2:6" x14ac:dyDescent="0.3">
      <c r="B74" s="161" t="s">
        <v>177</v>
      </c>
      <c r="C74" s="161"/>
      <c r="D74" s="161"/>
      <c r="E74" s="161"/>
      <c r="F74" s="116" t="str">
        <f>VLOOKUP(F69,Tabeller!B73:G192,6,FALSE)</f>
        <v>DN 1200</v>
      </c>
    </row>
    <row r="75" spans="2:6" x14ac:dyDescent="0.3">
      <c r="B75" s="161" t="s">
        <v>170</v>
      </c>
      <c r="C75" s="161"/>
      <c r="D75" s="161"/>
      <c r="E75" s="161"/>
      <c r="F75" s="116">
        <f>VLOOKUP(F69,Tabeller!B73:H192,7,FALSE)</f>
        <v>110</v>
      </c>
    </row>
    <row r="76" spans="2:6" x14ac:dyDescent="0.3">
      <c r="B76" s="1"/>
      <c r="F76" s="103"/>
    </row>
    <row r="77" spans="2:6" x14ac:dyDescent="0.3">
      <c r="B77"/>
      <c r="F77" s="121"/>
    </row>
    <row r="78" spans="2:6" x14ac:dyDescent="0.3">
      <c r="B78" s="1" t="s">
        <v>162</v>
      </c>
      <c r="F78" s="121"/>
    </row>
    <row r="79" spans="2:6" x14ac:dyDescent="0.3">
      <c r="B79" s="1" t="s">
        <v>154</v>
      </c>
      <c r="F79" s="117">
        <f>(VLOOKUP(F69,Tabeller!B74:D192,3,FALSE))*2</f>
        <v>800</v>
      </c>
    </row>
    <row r="83" spans="1:6" x14ac:dyDescent="0.3">
      <c r="B83" s="84" t="s">
        <v>128</v>
      </c>
      <c r="C83" s="85"/>
      <c r="D83" s="85"/>
      <c r="E83" s="85"/>
      <c r="F83" s="85"/>
    </row>
    <row r="84" spans="1:6" x14ac:dyDescent="0.3">
      <c r="B84"/>
    </row>
    <row r="85" spans="1:6" ht="14.4" customHeight="1" x14ac:dyDescent="0.3">
      <c r="B85" s="99" t="s">
        <v>167</v>
      </c>
      <c r="C85" s="228" t="str">
        <f>D8</f>
        <v xml:space="preserve">   Kjøttbearbeidende industri for fettutskiller etter NS-EN-1825-2</v>
      </c>
      <c r="D85" s="228"/>
      <c r="E85" s="228"/>
      <c r="F85" s="228"/>
    </row>
    <row r="87" spans="1:6" x14ac:dyDescent="0.3">
      <c r="A87" s="12"/>
      <c r="B87" s="160"/>
      <c r="C87" s="160"/>
      <c r="D87" s="160"/>
      <c r="E87" s="160"/>
      <c r="F87" s="12"/>
    </row>
    <row r="88" spans="1:6" x14ac:dyDescent="0.3">
      <c r="A88" s="12"/>
      <c r="B88" s="160"/>
      <c r="C88" s="160"/>
      <c r="D88" s="160"/>
      <c r="E88" s="160"/>
      <c r="F88" s="12"/>
    </row>
    <row r="89" spans="1:6" x14ac:dyDescent="0.3">
      <c r="A89" s="12"/>
      <c r="B89" s="160"/>
      <c r="C89" s="160"/>
      <c r="D89" s="160"/>
      <c r="E89" s="160"/>
      <c r="F89" s="12"/>
    </row>
    <row r="90" spans="1:6" x14ac:dyDescent="0.3">
      <c r="A90" s="12"/>
      <c r="B90" s="244"/>
      <c r="C90" s="244"/>
      <c r="D90" s="12"/>
      <c r="E90" s="12"/>
      <c r="F90" s="12"/>
    </row>
    <row r="91" spans="1:6" x14ac:dyDescent="0.3">
      <c r="A91" s="12"/>
      <c r="B91" s="244"/>
      <c r="C91" s="244"/>
      <c r="D91" s="12"/>
      <c r="E91" s="12"/>
      <c r="F91" s="12"/>
    </row>
    <row r="92" spans="1:6" x14ac:dyDescent="0.3">
      <c r="A92" s="12"/>
      <c r="B92" s="244"/>
      <c r="C92" s="244"/>
      <c r="D92" s="12"/>
      <c r="E92" s="12"/>
      <c r="F92" s="12"/>
    </row>
  </sheetData>
  <sheetProtection password="C5A6" sheet="1" objects="1" scenarios="1" selectLockedCells="1"/>
  <mergeCells count="45">
    <mergeCell ref="B90:C92"/>
    <mergeCell ref="B87:C87"/>
    <mergeCell ref="B88:C88"/>
    <mergeCell ref="B89:C89"/>
    <mergeCell ref="D87:E87"/>
    <mergeCell ref="D88:E88"/>
    <mergeCell ref="D89:E89"/>
    <mergeCell ref="D8:G8"/>
    <mergeCell ref="F15:G15"/>
    <mergeCell ref="F16:G16"/>
    <mergeCell ref="B11:G11"/>
    <mergeCell ref="B31:E31"/>
    <mergeCell ref="F31:G31"/>
    <mergeCell ref="F12:G12"/>
    <mergeCell ref="F18:G18"/>
    <mergeCell ref="F17:G17"/>
    <mergeCell ref="F20:G20"/>
    <mergeCell ref="F39:G39"/>
    <mergeCell ref="B14:C14"/>
    <mergeCell ref="B15:C15"/>
    <mergeCell ref="D15:E15"/>
    <mergeCell ref="B12:D12"/>
    <mergeCell ref="B16:C16"/>
    <mergeCell ref="D16:E16"/>
    <mergeCell ref="B22:D22"/>
    <mergeCell ref="F22:G22"/>
    <mergeCell ref="F23:G23"/>
    <mergeCell ref="B24:D24"/>
    <mergeCell ref="F24:G24"/>
    <mergeCell ref="B25:D25"/>
    <mergeCell ref="F25:G25"/>
    <mergeCell ref="B26:D26"/>
    <mergeCell ref="F26:G26"/>
    <mergeCell ref="B72:E72"/>
    <mergeCell ref="B73:E73"/>
    <mergeCell ref="C85:F85"/>
    <mergeCell ref="B51:F51"/>
    <mergeCell ref="B71:E71"/>
    <mergeCell ref="B67:E67"/>
    <mergeCell ref="B69:E69"/>
    <mergeCell ref="B74:E74"/>
    <mergeCell ref="B75:E75"/>
    <mergeCell ref="B54:F56"/>
    <mergeCell ref="B58:F60"/>
    <mergeCell ref="B62:F64"/>
  </mergeCells>
  <dataValidations count="1">
    <dataValidation type="list" allowBlank="1" showInputMessage="1" showErrorMessage="1" sqref="E13:E14 F12:G12" xr:uid="{00000000-0002-0000-0300-000000000000}">
      <formula1>"8,10,12"</formula1>
    </dataValidation>
  </dataValidations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2000000}">
          <x14:formula1>
            <xm:f>Tabeller!$C$69:$C$71</xm:f>
          </x14:formula1>
          <xm:sqref>B16:C16</xm:sqref>
        </x14:dataValidation>
        <x14:dataValidation type="list" allowBlank="1" showInputMessage="1" showErrorMessage="1" xr:uid="{00000000-0002-0000-0300-000003000000}">
          <x14:formula1>
            <xm:f>Tabeller!$C$5:$C$6</xm:f>
          </x14:formula1>
          <xm:sqref>E24</xm:sqref>
        </x14:dataValidation>
        <x14:dataValidation type="list" allowBlank="1" showInputMessage="1" showErrorMessage="1" xr:uid="{00000000-0002-0000-0300-000004000000}">
          <x14:formula1>
            <xm:f>Tabeller!$C$27:$C$29</xm:f>
          </x14:formula1>
          <xm:sqref>E25</xm:sqref>
        </x14:dataValidation>
        <x14:dataValidation type="list" allowBlank="1" showInputMessage="1" showErrorMessage="1" xr:uid="{00000000-0002-0000-0300-000005000000}">
          <x14:formula1>
            <xm:f>Tabeller!$C$21:$C$22</xm:f>
          </x14:formula1>
          <xm:sqref>E22 E26:E28</xm:sqref>
        </x14:dataValidation>
        <x14:dataValidation type="list" allowBlank="1" showInputMessage="1" showErrorMessage="1" promptTitle="ØR fettutskiller" prompt="Velg størrelse" xr:uid="{490E9589-D67E-43EB-99E7-4FCC35A40450}">
          <x14:formula1>
            <xm:f>Tabeller!$B$75:$B$78</xm:f>
          </x14:formula1>
          <xm:sqref>F69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workbookViewId="0">
      <selection activeCell="G7" sqref="G7"/>
    </sheetView>
  </sheetViews>
  <sheetFormatPr baseColWidth="10" defaultColWidth="8.88671875" defaultRowHeight="14.4" x14ac:dyDescent="0.3"/>
  <cols>
    <col min="2" max="2" width="11.88671875" customWidth="1"/>
    <col min="3" max="3" width="15.5546875" customWidth="1"/>
    <col min="4" max="4" width="19.109375" bestFit="1" customWidth="1"/>
    <col min="5" max="5" width="17.77734375" bestFit="1" customWidth="1"/>
    <col min="6" max="6" width="14.6640625" customWidth="1"/>
    <col min="7" max="8" width="14.5546875" customWidth="1"/>
  </cols>
  <sheetData>
    <row r="1" spans="1:4" x14ac:dyDescent="0.3">
      <c r="C1" s="1" t="s">
        <v>91</v>
      </c>
    </row>
    <row r="3" spans="1:4" x14ac:dyDescent="0.3">
      <c r="A3" t="s">
        <v>4</v>
      </c>
      <c r="C3" s="1" t="s">
        <v>104</v>
      </c>
    </row>
    <row r="4" spans="1:4" x14ac:dyDescent="0.3">
      <c r="C4" s="21" t="s">
        <v>2</v>
      </c>
      <c r="D4" s="22" t="s">
        <v>3</v>
      </c>
    </row>
    <row r="5" spans="1:4" x14ac:dyDescent="0.3">
      <c r="C5" s="46" t="s">
        <v>0</v>
      </c>
      <c r="D5" s="47">
        <v>1</v>
      </c>
    </row>
    <row r="6" spans="1:4" x14ac:dyDescent="0.3">
      <c r="C6" s="46" t="s">
        <v>1</v>
      </c>
      <c r="D6" s="47">
        <v>1.5</v>
      </c>
    </row>
    <row r="9" spans="1:4" x14ac:dyDescent="0.3">
      <c r="A9" t="s">
        <v>5</v>
      </c>
      <c r="C9" s="1" t="s">
        <v>6</v>
      </c>
    </row>
    <row r="10" spans="1:4" x14ac:dyDescent="0.3">
      <c r="C10" s="4" t="s">
        <v>7</v>
      </c>
      <c r="D10" s="4" t="s">
        <v>2</v>
      </c>
    </row>
    <row r="11" spans="1:4" x14ac:dyDescent="0.3">
      <c r="C11" s="6" t="s">
        <v>8</v>
      </c>
      <c r="D11" s="31" t="s">
        <v>9</v>
      </c>
    </row>
    <row r="12" spans="1:4" x14ac:dyDescent="0.3">
      <c r="C12" s="6" t="s">
        <v>10</v>
      </c>
      <c r="D12" s="6">
        <v>0.91</v>
      </c>
    </row>
    <row r="13" spans="1:4" x14ac:dyDescent="0.3">
      <c r="C13" s="6" t="s">
        <v>11</v>
      </c>
      <c r="D13" s="31" t="s">
        <v>12</v>
      </c>
    </row>
    <row r="14" spans="1:4" x14ac:dyDescent="0.3">
      <c r="C14" s="6" t="s">
        <v>13</v>
      </c>
      <c r="D14" s="31" t="s">
        <v>14</v>
      </c>
    </row>
    <row r="15" spans="1:4" x14ac:dyDescent="0.3">
      <c r="C15" s="6" t="s">
        <v>15</v>
      </c>
      <c r="D15" s="31" t="s">
        <v>16</v>
      </c>
    </row>
    <row r="16" spans="1:4" x14ac:dyDescent="0.3">
      <c r="C16" s="6" t="s">
        <v>17</v>
      </c>
      <c r="D16" s="31" t="s">
        <v>18</v>
      </c>
    </row>
    <row r="19" spans="1:4" ht="15.6" x14ac:dyDescent="0.35">
      <c r="A19" t="s">
        <v>19</v>
      </c>
      <c r="C19" s="1" t="s">
        <v>101</v>
      </c>
    </row>
    <row r="20" spans="1:4" ht="43.2" x14ac:dyDescent="0.3">
      <c r="C20" s="33" t="s">
        <v>21</v>
      </c>
      <c r="D20" s="4" t="s">
        <v>20</v>
      </c>
    </row>
    <row r="21" spans="1:4" x14ac:dyDescent="0.3">
      <c r="C21" s="6" t="s">
        <v>106</v>
      </c>
      <c r="D21" s="45">
        <v>1</v>
      </c>
    </row>
    <row r="22" spans="1:4" x14ac:dyDescent="0.3">
      <c r="C22" s="6" t="s">
        <v>105</v>
      </c>
      <c r="D22" s="46">
        <v>1.3</v>
      </c>
    </row>
    <row r="25" spans="1:4" ht="15.6" x14ac:dyDescent="0.35">
      <c r="A25" t="s">
        <v>22</v>
      </c>
      <c r="C25" s="1" t="s">
        <v>102</v>
      </c>
    </row>
    <row r="26" spans="1:4" ht="43.8" x14ac:dyDescent="0.35">
      <c r="C26" s="33" t="s">
        <v>23</v>
      </c>
      <c r="D26" s="33" t="s">
        <v>103</v>
      </c>
    </row>
    <row r="27" spans="1:4" x14ac:dyDescent="0.3">
      <c r="C27" s="6" t="s">
        <v>24</v>
      </c>
      <c r="D27" s="45">
        <v>1</v>
      </c>
    </row>
    <row r="28" spans="1:4" x14ac:dyDescent="0.3">
      <c r="C28" s="6" t="s">
        <v>25</v>
      </c>
      <c r="D28" s="46">
        <v>1.3</v>
      </c>
    </row>
    <row r="29" spans="1:4" x14ac:dyDescent="0.3">
      <c r="C29" s="6" t="s">
        <v>26</v>
      </c>
      <c r="D29" s="46">
        <v>1.5</v>
      </c>
    </row>
    <row r="31" spans="1:4" x14ac:dyDescent="0.3">
      <c r="A31" s="1" t="s">
        <v>186</v>
      </c>
    </row>
    <row r="32" spans="1:4" x14ac:dyDescent="0.3">
      <c r="A32" t="s">
        <v>27</v>
      </c>
      <c r="C32" s="1" t="s">
        <v>83</v>
      </c>
    </row>
    <row r="33" spans="2:9" x14ac:dyDescent="0.3">
      <c r="C33" s="30" t="s">
        <v>38</v>
      </c>
      <c r="D33" s="153" t="s">
        <v>39</v>
      </c>
      <c r="E33" s="245" t="s">
        <v>40</v>
      </c>
      <c r="F33" s="245"/>
      <c r="G33" s="245"/>
      <c r="H33" s="245"/>
      <c r="I33" s="245"/>
    </row>
    <row r="34" spans="2:9" x14ac:dyDescent="0.3">
      <c r="C34" s="15" t="s">
        <v>41</v>
      </c>
      <c r="D34" s="21" t="s">
        <v>37</v>
      </c>
      <c r="E34" s="21" t="s">
        <v>42</v>
      </c>
      <c r="F34" s="21" t="s">
        <v>43</v>
      </c>
      <c r="G34" s="21" t="s">
        <v>49</v>
      </c>
      <c r="H34" s="22" t="s">
        <v>50</v>
      </c>
      <c r="I34" s="21" t="s">
        <v>44</v>
      </c>
    </row>
    <row r="35" spans="2:9" x14ac:dyDescent="0.3">
      <c r="B35" s="3" t="s">
        <v>45</v>
      </c>
      <c r="C35" s="16" t="s">
        <v>46</v>
      </c>
      <c r="D35" s="36"/>
      <c r="E35" s="36">
        <v>0.45</v>
      </c>
      <c r="F35" s="36">
        <v>0.31</v>
      </c>
      <c r="G35" s="36">
        <v>0.25</v>
      </c>
      <c r="H35" s="36">
        <v>0.21</v>
      </c>
      <c r="I35" s="37">
        <v>0.2</v>
      </c>
    </row>
    <row r="36" spans="2:9" x14ac:dyDescent="0.3">
      <c r="B36" s="3"/>
      <c r="C36" s="17" t="s">
        <v>47</v>
      </c>
      <c r="D36" s="38">
        <v>1</v>
      </c>
      <c r="E36" s="38"/>
      <c r="F36" s="38"/>
      <c r="G36" s="38"/>
      <c r="H36" s="38"/>
      <c r="I36" s="39"/>
    </row>
    <row r="37" spans="2:9" x14ac:dyDescent="0.3">
      <c r="B37" s="3"/>
      <c r="C37" s="18" t="s">
        <v>48</v>
      </c>
      <c r="D37" s="40">
        <v>2</v>
      </c>
      <c r="E37" s="40"/>
      <c r="F37" s="40"/>
      <c r="G37" s="40"/>
      <c r="H37" s="40"/>
      <c r="I37" s="41"/>
    </row>
    <row r="38" spans="2:9" x14ac:dyDescent="0.3">
      <c r="B38" s="3" t="s">
        <v>51</v>
      </c>
      <c r="C38" s="16" t="s">
        <v>52</v>
      </c>
      <c r="D38" s="36"/>
      <c r="E38" s="36">
        <v>0.45</v>
      </c>
      <c r="F38" s="36">
        <v>0.31</v>
      </c>
      <c r="G38" s="36">
        <v>0.25</v>
      </c>
      <c r="H38" s="36">
        <v>0.21</v>
      </c>
      <c r="I38" s="37">
        <v>0.2</v>
      </c>
    </row>
    <row r="39" spans="2:9" x14ac:dyDescent="0.3">
      <c r="B39" s="3"/>
      <c r="C39" s="19" t="s">
        <v>53</v>
      </c>
      <c r="D39" s="38">
        <v>1</v>
      </c>
      <c r="E39" s="38"/>
      <c r="F39" s="38"/>
      <c r="G39" s="38"/>
      <c r="H39" s="38"/>
      <c r="I39" s="39"/>
    </row>
    <row r="40" spans="2:9" x14ac:dyDescent="0.3">
      <c r="B40" s="3"/>
      <c r="C40" s="20" t="s">
        <v>54</v>
      </c>
      <c r="D40" s="40">
        <v>3</v>
      </c>
      <c r="E40" s="40"/>
      <c r="F40" s="40"/>
      <c r="G40" s="40"/>
      <c r="H40" s="40"/>
      <c r="I40" s="41"/>
    </row>
    <row r="41" spans="2:9" x14ac:dyDescent="0.3">
      <c r="B41" s="3" t="s">
        <v>55</v>
      </c>
      <c r="C41" s="16" t="s">
        <v>56</v>
      </c>
      <c r="D41" s="36"/>
      <c r="E41" s="36">
        <v>0.45</v>
      </c>
      <c r="F41" s="36">
        <v>0.31</v>
      </c>
      <c r="G41" s="36">
        <v>0.25</v>
      </c>
      <c r="H41" s="36">
        <v>0.21</v>
      </c>
      <c r="I41" s="37">
        <v>0.2</v>
      </c>
    </row>
    <row r="42" spans="2:9" x14ac:dyDescent="0.3">
      <c r="B42" s="3"/>
      <c r="C42" s="17" t="s">
        <v>57</v>
      </c>
      <c r="D42" s="38">
        <v>0.8</v>
      </c>
      <c r="E42" s="38"/>
      <c r="F42" s="38"/>
      <c r="G42" s="38"/>
      <c r="H42" s="38"/>
      <c r="I42" s="39"/>
    </row>
    <row r="43" spans="2:9" x14ac:dyDescent="0.3">
      <c r="B43" s="3"/>
      <c r="C43" s="17" t="s">
        <v>58</v>
      </c>
      <c r="D43" s="38">
        <v>1.5</v>
      </c>
      <c r="E43" s="38"/>
      <c r="F43" s="38"/>
      <c r="G43" s="38"/>
      <c r="H43" s="38"/>
      <c r="I43" s="39"/>
    </row>
    <row r="44" spans="2:9" x14ac:dyDescent="0.3">
      <c r="B44" s="3"/>
      <c r="C44" s="17" t="s">
        <v>59</v>
      </c>
      <c r="D44" s="38">
        <v>2.5</v>
      </c>
      <c r="E44" s="38"/>
      <c r="F44" s="38"/>
      <c r="G44" s="38"/>
      <c r="H44" s="38"/>
      <c r="I44" s="39"/>
    </row>
    <row r="45" spans="2:9" x14ac:dyDescent="0.3">
      <c r="B45" s="3"/>
      <c r="C45" s="18" t="s">
        <v>60</v>
      </c>
      <c r="D45" s="40">
        <v>4</v>
      </c>
      <c r="E45" s="40"/>
      <c r="F45" s="40"/>
      <c r="G45" s="40"/>
      <c r="H45" s="40"/>
      <c r="I45" s="41"/>
    </row>
    <row r="46" spans="2:9" x14ac:dyDescent="0.3">
      <c r="B46" s="3">
        <v>4</v>
      </c>
      <c r="C46" s="16" t="s">
        <v>61</v>
      </c>
      <c r="D46" s="36"/>
      <c r="E46" s="36">
        <v>0.45</v>
      </c>
      <c r="F46" s="36">
        <v>0.31</v>
      </c>
      <c r="G46" s="36">
        <v>0.25</v>
      </c>
      <c r="H46" s="36">
        <v>0.21</v>
      </c>
      <c r="I46" s="37">
        <v>0.2</v>
      </c>
    </row>
    <row r="47" spans="2:9" x14ac:dyDescent="0.3">
      <c r="B47" s="3"/>
      <c r="C47" s="17" t="s">
        <v>62</v>
      </c>
      <c r="D47" s="38">
        <v>1</v>
      </c>
      <c r="E47" s="38"/>
      <c r="F47" s="38"/>
      <c r="G47" s="38"/>
      <c r="H47" s="38"/>
      <c r="I47" s="39"/>
    </row>
    <row r="48" spans="2:9" x14ac:dyDescent="0.3">
      <c r="B48" s="3"/>
      <c r="C48" s="18" t="s">
        <v>63</v>
      </c>
      <c r="D48" s="40">
        <v>0.1</v>
      </c>
      <c r="E48" s="40"/>
      <c r="F48" s="40"/>
      <c r="G48" s="40"/>
      <c r="H48" s="40"/>
      <c r="I48" s="41"/>
    </row>
    <row r="49" spans="1:9" x14ac:dyDescent="0.3">
      <c r="B49">
        <v>5</v>
      </c>
      <c r="C49" s="4" t="s">
        <v>64</v>
      </c>
      <c r="D49" s="42">
        <v>2</v>
      </c>
      <c r="E49" s="43">
        <v>0.45</v>
      </c>
      <c r="F49" s="43">
        <v>0.31</v>
      </c>
      <c r="G49" s="43">
        <v>0.25</v>
      </c>
      <c r="H49" s="43">
        <v>0.21</v>
      </c>
      <c r="I49" s="44">
        <v>0.2</v>
      </c>
    </row>
    <row r="50" spans="1:9" x14ac:dyDescent="0.3">
      <c r="B50">
        <v>6</v>
      </c>
      <c r="C50" s="4" t="s">
        <v>65</v>
      </c>
      <c r="D50" s="42">
        <v>1.5</v>
      </c>
      <c r="E50" s="43">
        <v>0.45</v>
      </c>
      <c r="F50" s="43">
        <v>0.31</v>
      </c>
      <c r="G50" s="43">
        <v>0.25</v>
      </c>
      <c r="H50" s="43">
        <v>0.21</v>
      </c>
      <c r="I50" s="44">
        <v>0.2</v>
      </c>
    </row>
    <row r="51" spans="1:9" x14ac:dyDescent="0.3">
      <c r="B51" s="3">
        <v>7</v>
      </c>
      <c r="C51" s="4" t="s">
        <v>66</v>
      </c>
      <c r="D51" s="42">
        <v>2</v>
      </c>
      <c r="E51" s="43">
        <v>0.45</v>
      </c>
      <c r="F51" s="43">
        <v>0.31</v>
      </c>
      <c r="G51" s="43">
        <v>0.25</v>
      </c>
      <c r="H51" s="43">
        <v>0.21</v>
      </c>
      <c r="I51" s="44">
        <v>0.2</v>
      </c>
    </row>
    <row r="52" spans="1:9" x14ac:dyDescent="0.3">
      <c r="B52" s="3">
        <v>8</v>
      </c>
      <c r="C52" s="16" t="s">
        <v>185</v>
      </c>
      <c r="D52" s="36"/>
      <c r="E52" s="36">
        <v>0.45</v>
      </c>
      <c r="F52" s="36">
        <v>0.31</v>
      </c>
      <c r="G52" s="36">
        <v>0.25</v>
      </c>
      <c r="H52" s="36">
        <v>0.21</v>
      </c>
      <c r="I52" s="37">
        <v>0.2</v>
      </c>
    </row>
    <row r="53" spans="1:9" x14ac:dyDescent="0.3">
      <c r="C53" s="17" t="s">
        <v>67</v>
      </c>
      <c r="D53" s="38">
        <v>0.5</v>
      </c>
      <c r="E53" s="38"/>
      <c r="F53" s="38"/>
      <c r="G53" s="38"/>
      <c r="H53" s="38"/>
      <c r="I53" s="39"/>
    </row>
    <row r="54" spans="1:9" x14ac:dyDescent="0.3">
      <c r="C54" s="17" t="s">
        <v>68</v>
      </c>
      <c r="D54" s="38">
        <v>1</v>
      </c>
      <c r="E54" s="38"/>
      <c r="F54" s="38"/>
      <c r="G54" s="38"/>
      <c r="H54" s="38"/>
      <c r="I54" s="39"/>
    </row>
    <row r="55" spans="1:9" x14ac:dyDescent="0.3">
      <c r="C55" s="18" t="s">
        <v>69</v>
      </c>
      <c r="D55" s="40">
        <v>1.7</v>
      </c>
      <c r="E55" s="40"/>
      <c r="F55" s="40"/>
      <c r="G55" s="40"/>
      <c r="H55" s="40"/>
      <c r="I55" s="41"/>
    </row>
    <row r="56" spans="1:9" x14ac:dyDescent="0.3">
      <c r="B56">
        <v>9</v>
      </c>
      <c r="C56" s="4" t="s">
        <v>70</v>
      </c>
      <c r="D56" s="42">
        <v>2</v>
      </c>
      <c r="E56" s="43">
        <v>0.6</v>
      </c>
      <c r="F56" s="43">
        <v>0.45</v>
      </c>
      <c r="G56" s="43">
        <v>0.4</v>
      </c>
      <c r="H56" s="43">
        <v>0.34</v>
      </c>
      <c r="I56" s="44">
        <v>0.3</v>
      </c>
    </row>
    <row r="57" spans="1:9" x14ac:dyDescent="0.3">
      <c r="C57" s="28"/>
      <c r="D57" s="13"/>
      <c r="E57" s="12"/>
      <c r="F57" s="12"/>
      <c r="G57" s="12"/>
      <c r="H57" s="12"/>
      <c r="I57" s="12"/>
    </row>
    <row r="58" spans="1:9" x14ac:dyDescent="0.3">
      <c r="A58" t="s">
        <v>71</v>
      </c>
      <c r="C58" s="29" t="s">
        <v>81</v>
      </c>
    </row>
    <row r="59" spans="1:9" x14ac:dyDescent="0.3">
      <c r="C59" s="51" t="s">
        <v>72</v>
      </c>
      <c r="D59" s="153" t="s">
        <v>73</v>
      </c>
      <c r="E59" s="150" t="s">
        <v>74</v>
      </c>
    </row>
    <row r="60" spans="1:9" x14ac:dyDescent="0.3">
      <c r="C60" s="16" t="s">
        <v>75</v>
      </c>
      <c r="D60" s="23">
        <v>5</v>
      </c>
      <c r="E60" s="11">
        <v>100</v>
      </c>
    </row>
    <row r="61" spans="1:9" x14ac:dyDescent="0.3">
      <c r="C61" s="17" t="s">
        <v>76</v>
      </c>
      <c r="D61" s="24">
        <v>8.5</v>
      </c>
      <c r="E61" s="25">
        <v>50</v>
      </c>
    </row>
    <row r="62" spans="1:9" x14ac:dyDescent="0.3">
      <c r="C62" s="17" t="s">
        <v>77</v>
      </c>
      <c r="D62" s="24">
        <v>13</v>
      </c>
      <c r="E62" s="25">
        <v>20</v>
      </c>
    </row>
    <row r="63" spans="1:9" x14ac:dyDescent="0.3">
      <c r="C63" s="17" t="s">
        <v>78</v>
      </c>
      <c r="D63" s="24">
        <v>20</v>
      </c>
      <c r="E63" s="25">
        <v>5</v>
      </c>
    </row>
    <row r="64" spans="1:9" x14ac:dyDescent="0.3">
      <c r="C64" s="18" t="s">
        <v>79</v>
      </c>
      <c r="D64" s="26">
        <v>22</v>
      </c>
      <c r="E64" s="27">
        <v>10</v>
      </c>
    </row>
    <row r="65" spans="1:8" x14ac:dyDescent="0.3">
      <c r="C65" s="13"/>
      <c r="D65" s="152"/>
      <c r="E65" s="152"/>
    </row>
    <row r="66" spans="1:8" x14ac:dyDescent="0.3">
      <c r="A66" s="1" t="s">
        <v>90</v>
      </c>
    </row>
    <row r="67" spans="1:8" x14ac:dyDescent="0.3">
      <c r="A67" t="s">
        <v>80</v>
      </c>
      <c r="C67" s="29" t="s">
        <v>82</v>
      </c>
    </row>
    <row r="68" spans="1:8" ht="43.2" x14ac:dyDescent="0.3">
      <c r="C68" s="30" t="s">
        <v>84</v>
      </c>
      <c r="D68" s="30" t="s">
        <v>88</v>
      </c>
      <c r="E68" s="64" t="s">
        <v>89</v>
      </c>
    </row>
    <row r="69" spans="1:8" x14ac:dyDescent="0.3">
      <c r="C69" s="4" t="s">
        <v>85</v>
      </c>
      <c r="D69" s="45">
        <v>30</v>
      </c>
      <c r="E69" s="45">
        <v>20</v>
      </c>
    </row>
    <row r="70" spans="1:8" x14ac:dyDescent="0.3">
      <c r="C70" s="4" t="s">
        <v>86</v>
      </c>
      <c r="D70" s="45">
        <v>35</v>
      </c>
      <c r="E70" s="45">
        <v>15</v>
      </c>
    </row>
    <row r="71" spans="1:8" x14ac:dyDescent="0.3">
      <c r="C71" s="4" t="s">
        <v>87</v>
      </c>
      <c r="D71" s="45">
        <v>40</v>
      </c>
      <c r="E71" s="45">
        <v>10</v>
      </c>
    </row>
    <row r="74" spans="1:8" x14ac:dyDescent="0.3">
      <c r="A74" s="242" t="s">
        <v>139</v>
      </c>
      <c r="B74" s="243"/>
      <c r="C74" s="93" t="s">
        <v>158</v>
      </c>
      <c r="D74" s="151" t="s">
        <v>148</v>
      </c>
      <c r="E74" s="118" t="s">
        <v>159</v>
      </c>
      <c r="F74" s="118" t="s">
        <v>160</v>
      </c>
      <c r="G74" s="151" t="s">
        <v>171</v>
      </c>
      <c r="H74" s="151" t="s">
        <v>172</v>
      </c>
    </row>
    <row r="75" spans="1:8" x14ac:dyDescent="0.3">
      <c r="A75" s="6"/>
      <c r="B75" s="92" t="s">
        <v>150</v>
      </c>
      <c r="C75" s="149">
        <v>1051</v>
      </c>
      <c r="D75" s="149">
        <v>400</v>
      </c>
      <c r="E75" s="149">
        <v>230</v>
      </c>
      <c r="F75" s="149">
        <v>164</v>
      </c>
      <c r="G75" s="149" t="s">
        <v>173</v>
      </c>
      <c r="H75" s="149">
        <v>110</v>
      </c>
    </row>
    <row r="76" spans="1:8" x14ac:dyDescent="0.3">
      <c r="A76" s="6"/>
      <c r="B76" s="92" t="s">
        <v>149</v>
      </c>
      <c r="C76" s="149">
        <v>2231</v>
      </c>
      <c r="D76" s="149">
        <v>700</v>
      </c>
      <c r="E76" s="149">
        <v>414</v>
      </c>
      <c r="F76" s="149">
        <v>296</v>
      </c>
      <c r="G76" s="149" t="s">
        <v>174</v>
      </c>
      <c r="H76" s="149">
        <v>160</v>
      </c>
    </row>
    <row r="77" spans="1:8" x14ac:dyDescent="0.3">
      <c r="A77" s="6"/>
      <c r="B77" s="92" t="s">
        <v>151</v>
      </c>
      <c r="C77" s="149">
        <v>3328</v>
      </c>
      <c r="D77" s="149">
        <v>1000</v>
      </c>
      <c r="E77" s="149">
        <v>777</v>
      </c>
      <c r="F77" s="149">
        <v>465</v>
      </c>
      <c r="G77" s="149" t="s">
        <v>175</v>
      </c>
      <c r="H77" s="149">
        <v>160</v>
      </c>
    </row>
    <row r="78" spans="1:8" x14ac:dyDescent="0.3">
      <c r="A78" s="6"/>
      <c r="B78" s="92" t="s">
        <v>152</v>
      </c>
      <c r="C78" s="149">
        <v>8243</v>
      </c>
      <c r="D78" s="149">
        <v>1500</v>
      </c>
      <c r="E78" s="149">
        <v>1023</v>
      </c>
      <c r="F78" s="149">
        <v>730</v>
      </c>
      <c r="G78" s="149" t="s">
        <v>176</v>
      </c>
      <c r="H78" s="149">
        <v>200</v>
      </c>
    </row>
    <row r="79" spans="1:8" x14ac:dyDescent="0.3">
      <c r="A79" s="6"/>
      <c r="B79" s="6"/>
      <c r="C79" s="6"/>
      <c r="D79" s="46"/>
      <c r="E79" s="149"/>
      <c r="F79" s="149"/>
      <c r="G79" s="149"/>
      <c r="H79" s="149"/>
    </row>
    <row r="80" spans="1:8" x14ac:dyDescent="0.3">
      <c r="A80" s="6"/>
      <c r="B80" s="6"/>
      <c r="C80" s="6"/>
      <c r="D80" s="46"/>
      <c r="E80" s="149"/>
      <c r="F80" s="149"/>
      <c r="G80" s="149"/>
      <c r="H80" s="149"/>
    </row>
    <row r="81" spans="1:8" x14ac:dyDescent="0.3">
      <c r="A81" s="6"/>
      <c r="B81" s="6"/>
      <c r="C81" s="6"/>
      <c r="D81" s="46"/>
      <c r="E81" s="149"/>
      <c r="F81" s="149"/>
      <c r="G81" s="149"/>
      <c r="H81" s="149"/>
    </row>
  </sheetData>
  <sheetProtection password="C5A6" sheet="1" objects="1" scenarios="1" selectLockedCells="1" selectUnlockedCells="1"/>
  <mergeCells count="2">
    <mergeCell ref="E33:I33"/>
    <mergeCell ref="A74:B74"/>
  </mergeCells>
  <dataValidations count="1">
    <dataValidation type="list" allowBlank="1" showInputMessage="1" showErrorMessage="1" sqref="C75" xr:uid="{B7FC6FCE-E13B-46DF-8132-EF0C56E01A2F}">
      <formula1>_2_4</formula1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10</vt:i4>
      </vt:variant>
    </vt:vector>
  </HeadingPairs>
  <TitlesOfParts>
    <vt:vector size="16" baseType="lpstr">
      <vt:lpstr>Forside</vt:lpstr>
      <vt:lpstr>Metode 1</vt:lpstr>
      <vt:lpstr>Metode 2</vt:lpstr>
      <vt:lpstr>Metode 3</vt:lpstr>
      <vt:lpstr>Metode 4</vt:lpstr>
      <vt:lpstr>Tabeller</vt:lpstr>
      <vt:lpstr>_10_15</vt:lpstr>
      <vt:lpstr>_2_4</vt:lpstr>
      <vt:lpstr>_4_7</vt:lpstr>
      <vt:lpstr>_7_10</vt:lpstr>
      <vt:lpstr>NS_2_4</vt:lpstr>
      <vt:lpstr>'Metode 1'!Utskriftsområde</vt:lpstr>
      <vt:lpstr>'Metode 2'!Utskriftsområde</vt:lpstr>
      <vt:lpstr>'Metode 3'!Utskriftsområde</vt:lpstr>
      <vt:lpstr>'Metode 4'!Utskriftsområde</vt:lpstr>
      <vt:lpstr>Tabeller!Utskriftsområde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Gilje;Helge Skretting</dc:creator>
  <cp:lastModifiedBy>Helge Skretting</cp:lastModifiedBy>
  <cp:lastPrinted>2021-12-07T12:48:52Z</cp:lastPrinted>
  <dcterms:created xsi:type="dcterms:W3CDTF">2019-07-01T12:12:06Z</dcterms:created>
  <dcterms:modified xsi:type="dcterms:W3CDTF">2022-07-01T10:38:52Z</dcterms:modified>
</cp:coreProperties>
</file>